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mbeddings/oleObject1.bin" ContentType="application/vnd.openxmlformats-officedocument.oleObject"/>
  <Override PartName="/xl/embeddings/oleObject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fileSharing readOnlyRecommended="1"/>
  <workbookPr updateLinks="never"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avbgs.sharepoint.com/sites/S-348-P-Emissionsbilanzierung/Freigegebene Dokumente/General/2. Teilnahmelisten/"/>
    </mc:Choice>
  </mc:AlternateContent>
  <xr:revisionPtr revIDLastSave="6990" documentId="8_{1CA52DC3-2D58-418E-BFB1-FDB0B7468AB3}" xr6:coauthVersionLast="47" xr6:coauthVersionMax="47" xr10:uidLastSave="{B579AE2F-27A4-4F12-86DC-C9585D4897AC}"/>
  <bookViews>
    <workbookView xWindow="-120" yWindow="-120" windowWidth="29040" windowHeight="15720" tabRatio="577" xr2:uid="{00000000-000D-0000-FFFF-FFFF00000000}"/>
  </bookViews>
  <sheets>
    <sheet name="AnmeldeListe" sheetId="1" r:id="rId1"/>
    <sheet name="HilfeListe" sheetId="2" r:id="rId2"/>
    <sheet name="Kosten" sheetId="12" r:id="rId3"/>
    <sheet name="KlimaErfassung" sheetId="5" r:id="rId4"/>
  </sheets>
  <definedNames>
    <definedName name="AmpelCo2kg">AnmeldeListe!$D$2</definedName>
    <definedName name="AmpelCo2Menschtag" comment="Co2 je Menschtag">AnmeldeListe!$D$3</definedName>
    <definedName name="AnzMax">AnmeldeListe!$A$3</definedName>
    <definedName name="AnzMin">AnmeldeListe!$A$4</definedName>
    <definedName name="AnzTeiln" comment="Anzahl Teilnehmende (gemeldet)">AnmeldeListe!$A$9</definedName>
    <definedName name="AusschreibungsText">AnmeldeListe!$F$2</definedName>
    <definedName name="BuchungsCode">AnmeldeListe!$C$2</definedName>
    <definedName name="CO2_Erfassung">#REF!</definedName>
    <definedName name="CoOrgaNachname">AnmeldeListe!$C$11</definedName>
    <definedName name="CoOrgaVorname">AnmeldeListe!$B$11</definedName>
    <definedName name="Dauer">AnmeldeListe!$D$5</definedName>
    <definedName name="_xlnm.Print_Area" localSheetId="0">AnmeldeListe!$A$1:$BT$44</definedName>
    <definedName name="_xlnm.Print_Area" localSheetId="3">KlimaErfassung!$A:$G</definedName>
    <definedName name="_xlnm.Print_Area" localSheetId="2">Kosten!$A$1:$O$39</definedName>
    <definedName name="_xlnm.Print_Titles" localSheetId="0">AnmeldeListe!$A:$C</definedName>
    <definedName name="EndeDatum">AnmeldeListe!$C$5</definedName>
    <definedName name="Essen">HilfeListe!$I$15:$J$36</definedName>
    <definedName name="fleisch">AnmeldeListe!$BH$8</definedName>
    <definedName name="GebührAltdorf">Kosten!$C$10</definedName>
    <definedName name="GebührenTage">Kosten!$B$7</definedName>
    <definedName name="GebührGast">Kosten!$E$10</definedName>
    <definedName name="Gruppen">HilfeListe!$B$15:$B$36</definedName>
    <definedName name="km">AnmeldeListe!$D$6</definedName>
    <definedName name="kmEndeStart" comment="bei Durchquerungen">AnmeldeListe!$D$7</definedName>
    <definedName name="kmOrt">AnmeldeListe!$D$8</definedName>
    <definedName name="Länder">HilfeListe!$AH$15:$AH$57</definedName>
    <definedName name="LiftAnz">AnmeldeListe!$C$8</definedName>
    <definedName name="Liste_EssensTyp">HilfeListe!$I$16:$I$21</definedName>
    <definedName name="Liste_Gruppen">HilfeListe!$B$16:$C$36</definedName>
    <definedName name="Liste_GruppenEmail">HilfeListe!$C$16:$C$36</definedName>
    <definedName name="Liste_Monate">HilfeListe!$AI$15:$AJ$27</definedName>
    <definedName name="Liste_Öffi_Zuschuss">HilfeListe!$F$16:$G$36</definedName>
    <definedName name="Liste_Sektionen">HilfeListe!$A$16:$A$36</definedName>
    <definedName name="Liste_Sektions" comment="Mitgliedschaft in DAV-Sektion">HilfeListe!$D$16:$D$21</definedName>
    <definedName name="Liste_Spritgeld">HilfeListe!$AM$16:$AN$36</definedName>
    <definedName name="Liste_Startzeit">HilfeListe!$H$16:$H$21</definedName>
    <definedName name="Liste_Startzeit_Nachmittag">HilfeListe!$H$17</definedName>
    <definedName name="Liste_TransportDAV">HilfeListe!$Z$15:$AE$36</definedName>
    <definedName name="Liste_TransportDAV1">HilfeListe!$Z$16:$Z$36</definedName>
    <definedName name="Liste_Transportmittel">HilfeListe!$W$16:$Y$36</definedName>
    <definedName name="Liste_Unterkunft">HilfeListe!$O$16:$R$36</definedName>
    <definedName name="Mitgliedschaft">HilfeListe!$D$16:$D$36</definedName>
    <definedName name="OrgaNachname">AnmeldeListe!$C$10</definedName>
    <definedName name="OrgaVorname">AnmeldeListe!$B$10</definedName>
    <definedName name="Personen">AnmeldeListe!$D$4</definedName>
    <definedName name="Sektion">AnmeldeListe!$C$1</definedName>
    <definedName name="SektionsGruppe">AnmeldeListe!$A$2</definedName>
    <definedName name="Sportart">AnmeldeListe!$B$4</definedName>
    <definedName name="Sportarten">HilfeListe!$L$15:$L$36</definedName>
    <definedName name="StartDatum">AnmeldeListe!$B$5</definedName>
    <definedName name="StartLand">AnmeldeListe!$B$6</definedName>
    <definedName name="StartOrt" comment="StartOrt">AnmeldeListe!$B$7</definedName>
    <definedName name="StartZeit" comment="vormittag oder nachmittag">AnmeldeListe!$A$5</definedName>
    <definedName name="Teilnahme_Meldung">AnmeldeListe!$A$2:$AQ$38</definedName>
    <definedName name="TNL_Fahrten">AnmeldeListe!$K$10:$W$37</definedName>
    <definedName name="TNL_Teilnehmende">AnmeldeListe!$B$10:$G$37</definedName>
    <definedName name="TNL_Übernachtungen">AnmeldeListe!$AC$10:$AQ$37</definedName>
    <definedName name="TourTitel">AnmeldeListe!$B$3</definedName>
    <definedName name="Transportmittel">HilfeListe!$W$15:$Y$36</definedName>
    <definedName name="Trsp">HilfeListe!$X$15:$X$36</definedName>
    <definedName name="Unt">HilfeListe!$O$15:$O$36</definedName>
    <definedName name="Unterkünfte">HilfeListe!$P$15:$P$36</definedName>
    <definedName name="vegan">AnmeldeListe!$BH$6</definedName>
    <definedName name="veget">AnmeldeListe!$BH$7</definedName>
    <definedName name="ZielLand">AnmeldeListe!$C$6</definedName>
    <definedName name="ZielOrt">AnmeldeListe!$C$7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2" l="1"/>
  <c r="N33" i="12" s="1"/>
  <c r="I2" i="12"/>
  <c r="O23" i="12"/>
  <c r="G23" i="12"/>
  <c r="A4" i="1"/>
  <c r="N22" i="12"/>
  <c r="M22" i="12"/>
  <c r="I22" i="12"/>
  <c r="F22" i="12"/>
  <c r="E22" i="12"/>
  <c r="A22" i="12"/>
  <c r="D38" i="1"/>
  <c r="G59" i="5"/>
  <c r="A14" i="1"/>
  <c r="A11" i="1"/>
  <c r="L33" i="12"/>
  <c r="A10" i="1"/>
  <c r="K6" i="12" l="1"/>
  <c r="M37" i="12" s="1"/>
  <c r="J6" i="12"/>
  <c r="K37" i="12" s="1"/>
  <c r="K8" i="1"/>
  <c r="J9" i="12"/>
  <c r="J13" i="12"/>
  <c r="J16" i="12" s="1"/>
  <c r="M10" i="12"/>
  <c r="K10" i="12"/>
  <c r="N6" i="12"/>
  <c r="O5" i="12"/>
  <c r="N5" i="12"/>
  <c r="M5" i="12"/>
  <c r="J5" i="12"/>
  <c r="J4" i="12"/>
  <c r="C10" i="12"/>
  <c r="E10" i="12"/>
  <c r="B9" i="12"/>
  <c r="B5" i="12"/>
  <c r="B4" i="12"/>
  <c r="J7" i="12" l="1"/>
  <c r="N7" i="12"/>
  <c r="J33" i="12" s="1"/>
  <c r="N9" i="12"/>
  <c r="J35" i="12"/>
  <c r="L35" i="12"/>
  <c r="D42" i="1"/>
  <c r="BD9" i="1"/>
  <c r="BC9" i="1"/>
  <c r="BB9" i="1"/>
  <c r="V6" i="1"/>
  <c r="U6" i="1"/>
  <c r="T6" i="1"/>
  <c r="S6" i="1"/>
  <c r="R6" i="1"/>
  <c r="Q6" i="1"/>
  <c r="P6" i="1"/>
  <c r="O6" i="1"/>
  <c r="N6" i="1"/>
  <c r="M6" i="1"/>
  <c r="K6" i="1"/>
  <c r="L6" i="1"/>
  <c r="AC20" i="2"/>
  <c r="AC30" i="2"/>
  <c r="AC29" i="2"/>
  <c r="K5" i="1" s="1"/>
  <c r="AC28" i="2"/>
  <c r="Q5" i="1" s="1"/>
  <c r="AC27" i="2"/>
  <c r="AC31" i="2"/>
  <c r="V5" i="1" s="1"/>
  <c r="AC24" i="2"/>
  <c r="AC23" i="2"/>
  <c r="AC22" i="2"/>
  <c r="AC19" i="2"/>
  <c r="AC18" i="2"/>
  <c r="AC17" i="2"/>
  <c r="U5" i="1" s="1"/>
  <c r="AC16" i="2"/>
  <c r="M5" i="1" s="1"/>
  <c r="B42" i="1"/>
  <c r="B40" i="1"/>
  <c r="B13" i="12"/>
  <c r="B16" i="12" s="1"/>
  <c r="K45" i="1"/>
  <c r="G84" i="5"/>
  <c r="G73" i="5"/>
  <c r="G72" i="5"/>
  <c r="G17" i="5"/>
  <c r="G16" i="5"/>
  <c r="G12" i="5"/>
  <c r="G13" i="5"/>
  <c r="G11" i="5"/>
  <c r="G7" i="5"/>
  <c r="G8" i="5"/>
  <c r="G9" i="5"/>
  <c r="G6" i="5"/>
  <c r="A2" i="12"/>
  <c r="F6" i="12"/>
  <c r="D40" i="1"/>
  <c r="D41" i="1"/>
  <c r="AR33" i="1"/>
  <c r="J33" i="1"/>
  <c r="A33" i="1"/>
  <c r="AR32" i="1"/>
  <c r="J32" i="1"/>
  <c r="A32" i="1"/>
  <c r="AR31" i="1"/>
  <c r="J31" i="1"/>
  <c r="A31" i="1"/>
  <c r="AR30" i="1"/>
  <c r="J30" i="1"/>
  <c r="A30" i="1"/>
  <c r="AR29" i="1"/>
  <c r="J29" i="1"/>
  <c r="A29" i="1"/>
  <c r="AR28" i="1"/>
  <c r="J28" i="1"/>
  <c r="A28" i="1"/>
  <c r="AR27" i="1"/>
  <c r="J27" i="1"/>
  <c r="A27" i="1"/>
  <c r="AR26" i="1"/>
  <c r="J26" i="1"/>
  <c r="A26" i="1"/>
  <c r="A21" i="1"/>
  <c r="A22" i="1"/>
  <c r="A18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C45" i="1"/>
  <c r="U45" i="1"/>
  <c r="T45" i="1"/>
  <c r="S45" i="1"/>
  <c r="R45" i="1"/>
  <c r="Q45" i="1"/>
  <c r="P45" i="1"/>
  <c r="O45" i="1"/>
  <c r="N45" i="1"/>
  <c r="M45" i="1"/>
  <c r="L45" i="1"/>
  <c r="AR37" i="1"/>
  <c r="AR36" i="1"/>
  <c r="AR35" i="1"/>
  <c r="AR34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0" i="1"/>
  <c r="AR11" i="1"/>
  <c r="J37" i="1"/>
  <c r="J36" i="1"/>
  <c r="J35" i="1"/>
  <c r="J34" i="1"/>
  <c r="J25" i="1"/>
  <c r="J24" i="1"/>
  <c r="J23" i="1"/>
  <c r="J22" i="1"/>
  <c r="J21" i="1"/>
  <c r="J20" i="1"/>
  <c r="J19" i="1"/>
  <c r="J18" i="1"/>
  <c r="J17" i="1"/>
  <c r="J16" i="1"/>
  <c r="J15" i="1"/>
  <c r="J14" i="1"/>
  <c r="J12" i="1"/>
  <c r="J11" i="1"/>
  <c r="J10" i="1"/>
  <c r="J13" i="1"/>
  <c r="W8" i="1"/>
  <c r="W45" i="1" s="1"/>
  <c r="U9" i="1"/>
  <c r="T9" i="1"/>
  <c r="S9" i="1"/>
  <c r="R9" i="1"/>
  <c r="Q9" i="1"/>
  <c r="P9" i="1"/>
  <c r="O9" i="1"/>
  <c r="N9" i="1"/>
  <c r="M9" i="1"/>
  <c r="L9" i="1"/>
  <c r="K9" i="1"/>
  <c r="BA9" i="1"/>
  <c r="AZ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5" i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D9" i="1"/>
  <c r="A17" i="1"/>
  <c r="BR8" i="1"/>
  <c r="BQ8" i="1"/>
  <c r="BO8" i="1"/>
  <c r="BN8" i="1"/>
  <c r="BM8" i="1"/>
  <c r="BL8" i="1"/>
  <c r="BR7" i="1"/>
  <c r="BQ7" i="1"/>
  <c r="BO7" i="1"/>
  <c r="BN7" i="1"/>
  <c r="BM7" i="1"/>
  <c r="BL7" i="1"/>
  <c r="BP7" i="1"/>
  <c r="BP8" i="1"/>
  <c r="AR9" i="1"/>
  <c r="BG9" i="1"/>
  <c r="BF9" i="1"/>
  <c r="BE9" i="1"/>
  <c r="AY9" i="1"/>
  <c r="AX9" i="1"/>
  <c r="AW9" i="1"/>
  <c r="AV9" i="1"/>
  <c r="AU9" i="1"/>
  <c r="AT9" i="1"/>
  <c r="AS9" i="1"/>
  <c r="A16" i="1"/>
  <c r="AC9" i="1"/>
  <c r="A15" i="1"/>
  <c r="A37" i="1"/>
  <c r="A36" i="1"/>
  <c r="A35" i="1"/>
  <c r="A34" i="1"/>
  <c r="A25" i="1"/>
  <c r="A24" i="1"/>
  <c r="A23" i="1"/>
  <c r="A20" i="1"/>
  <c r="A19" i="1"/>
  <c r="A13" i="1"/>
  <c r="A12" i="1"/>
  <c r="R5" i="1" l="1"/>
  <c r="O5" i="1"/>
  <c r="P5" i="1"/>
  <c r="L5" i="1"/>
  <c r="S5" i="1"/>
  <c r="N5" i="1"/>
  <c r="T5" i="1"/>
  <c r="J45" i="1"/>
  <c r="A9" i="1"/>
  <c r="BO9" i="1"/>
  <c r="BR9" i="1"/>
  <c r="BM9" i="1"/>
  <c r="BN9" i="1"/>
  <c r="BQ9" i="1"/>
  <c r="BL9" i="1"/>
  <c r="AD45" i="1"/>
  <c r="D5" i="1" s="1"/>
  <c r="E5" i="12"/>
  <c r="C6" i="12"/>
  <c r="B6" i="12"/>
  <c r="C37" i="12" s="1"/>
  <c r="V8" i="1" l="1"/>
  <c r="J28" i="12"/>
  <c r="N28" i="12" s="1"/>
  <c r="J26" i="12"/>
  <c r="N26" i="12" s="1"/>
  <c r="B28" i="12"/>
  <c r="B29" i="12" s="1"/>
  <c r="B26" i="12"/>
  <c r="V9" i="1"/>
  <c r="V45" i="1"/>
  <c r="G14" i="5"/>
  <c r="L10" i="12"/>
  <c r="J10" i="12" s="1"/>
  <c r="G87" i="5"/>
  <c r="G85" i="5"/>
  <c r="G86" i="5"/>
  <c r="D10" i="12"/>
  <c r="B10" i="12" s="1"/>
  <c r="G5" i="12"/>
  <c r="F5" i="12"/>
  <c r="V7" i="1" l="1"/>
  <c r="Y3" i="1"/>
  <c r="G26" i="5"/>
  <c r="J29" i="12"/>
  <c r="N29" i="12" s="1"/>
  <c r="N32" i="12" s="1"/>
  <c r="N10" i="12"/>
  <c r="N11" i="12" s="1"/>
  <c r="L12" i="12" s="1"/>
  <c r="O10" i="12"/>
  <c r="B7" i="12"/>
  <c r="F39" i="1" s="1"/>
  <c r="F7" i="12"/>
  <c r="B33" i="12" s="1"/>
  <c r="E37" i="12"/>
  <c r="F28" i="12"/>
  <c r="F9" i="12"/>
  <c r="G10" i="12" l="1"/>
  <c r="F29" i="12"/>
  <c r="F26" i="12"/>
  <c r="F32" i="12" s="1"/>
  <c r="D35" i="12"/>
  <c r="B35" i="12"/>
  <c r="L37" i="2" l="1"/>
  <c r="Q17" i="2" l="1"/>
  <c r="Q18" i="2"/>
  <c r="Q19" i="2"/>
  <c r="G71" i="5" s="1"/>
  <c r="Q20" i="2"/>
  <c r="G74" i="5" s="1"/>
  <c r="Q21" i="2"/>
  <c r="G75" i="5" s="1"/>
  <c r="Q22" i="2"/>
  <c r="G76" i="5" s="1"/>
  <c r="Q23" i="2"/>
  <c r="Q16" i="2"/>
  <c r="I92" i="5"/>
  <c r="H92" i="5"/>
  <c r="G92" i="5"/>
  <c r="I88" i="5"/>
  <c r="H88" i="5"/>
  <c r="I83" i="5"/>
  <c r="H83" i="5"/>
  <c r="I68" i="5"/>
  <c r="H68" i="5"/>
  <c r="I67" i="5"/>
  <c r="H67" i="5"/>
  <c r="D67" i="5"/>
  <c r="I58" i="5"/>
  <c r="H58" i="5"/>
  <c r="I52" i="5"/>
  <c r="H52" i="5"/>
  <c r="G52" i="5"/>
  <c r="I46" i="5"/>
  <c r="H46" i="5"/>
  <c r="G46" i="5"/>
  <c r="I20" i="5"/>
  <c r="H20" i="5"/>
  <c r="H4" i="5" s="1"/>
  <c r="I5" i="5"/>
  <c r="H5" i="5"/>
  <c r="G70" i="5" l="1"/>
  <c r="G68" i="5" s="1"/>
  <c r="G89" i="5"/>
  <c r="G88" i="5" s="1"/>
  <c r="I4" i="5"/>
  <c r="AA21" i="2" l="1"/>
  <c r="AC21" i="2" s="1"/>
  <c r="AA20" i="2"/>
  <c r="AE26" i="2"/>
  <c r="AE25" i="2"/>
  <c r="AE24" i="2"/>
  <c r="AE23" i="2"/>
  <c r="AE21" i="2"/>
  <c r="AE20" i="2"/>
  <c r="AE19" i="2"/>
  <c r="AE18" i="2"/>
  <c r="AE17" i="2"/>
  <c r="AE16" i="2"/>
  <c r="AA26" i="2"/>
  <c r="AA25" i="2"/>
  <c r="W6" i="1" l="1"/>
  <c r="K7" i="1"/>
  <c r="W46" i="1"/>
  <c r="V46" i="1"/>
  <c r="U46" i="1"/>
  <c r="T46" i="1"/>
  <c r="S46" i="1"/>
  <c r="R46" i="1"/>
  <c r="Q46" i="1"/>
  <c r="P46" i="1"/>
  <c r="O46" i="1"/>
  <c r="N46" i="1"/>
  <c r="M46" i="1"/>
  <c r="K46" i="1"/>
  <c r="L46" i="1"/>
  <c r="G31" i="5" l="1"/>
  <c r="G22" i="5"/>
  <c r="G23" i="5"/>
  <c r="G24" i="5"/>
  <c r="G28" i="5"/>
  <c r="G29" i="5"/>
  <c r="G30" i="5"/>
  <c r="G27" i="5"/>
  <c r="G25" i="5"/>
  <c r="C38" i="1" l="1"/>
  <c r="D4" i="1" l="1"/>
  <c r="W7" i="1"/>
  <c r="BI9" i="1"/>
  <c r="AC7" i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C6" i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U7" i="1"/>
  <c r="T7" i="1"/>
  <c r="S7" i="1"/>
  <c r="R7" i="1"/>
  <c r="Q7" i="1"/>
  <c r="P7" i="1"/>
  <c r="O7" i="1"/>
  <c r="N7" i="1"/>
  <c r="M7" i="1"/>
  <c r="BI3" i="1" l="1"/>
  <c r="BI4" i="1" s="1"/>
  <c r="X8" i="1"/>
  <c r="G66" i="5"/>
  <c r="L7" i="1"/>
  <c r="X7" i="1" s="1"/>
  <c r="G20" i="5" l="1"/>
  <c r="G67" i="5"/>
  <c r="J9" i="1"/>
  <c r="G58" i="5" l="1"/>
  <c r="G15" i="5"/>
  <c r="J38" i="1" l="1"/>
  <c r="Y4" i="1" s="1"/>
  <c r="AR38" i="1"/>
  <c r="G5" i="5" l="1"/>
  <c r="G83" i="5" l="1"/>
  <c r="G4" i="5" s="1"/>
  <c r="F10" i="12"/>
  <c r="F11" i="12" s="1"/>
  <c r="D33" i="12" l="1"/>
  <c r="F34" i="12" s="1"/>
  <c r="D12" i="12"/>
  <c r="D2" i="1"/>
  <c r="N34" i="12" l="1"/>
  <c r="D3" i="1"/>
  <c r="BP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</author>
    <author/>
    <author>Jan Kürschner (DAV Altdorf)</author>
  </authors>
  <commentList>
    <comment ref="A1" authorId="0" shapeId="0" xr:uid="{EFB635CD-B2D1-4A15-BC78-AB669F96E42B}">
      <text>
        <r>
          <rPr>
            <sz val="9"/>
            <color indexed="81"/>
            <rFont val="Segoe UI"/>
            <family val="2"/>
          </rPr>
          <t xml:space="preserve">--- Legende ---- 
weiß -  Eingabefeld
hellgelb - Zwangs-Eingabefeld (Eingabe fehlt)
grau - Formatfeld: möglichst nicht verändern
blaue Schrift - autom. Formel, möglichst nicht verändern
rot - Achtung Problem
gelb - Warnung / Hinweis
grün - hervorgehoben
</t>
        </r>
      </text>
    </comment>
    <comment ref="D2" authorId="1" shapeId="0" xr:uid="{E829BC12-1FA1-4EE6-96DA-7137FE9533B6}">
      <text>
        <r>
          <rPr>
            <b/>
            <sz val="10"/>
            <color rgb="FF000000"/>
            <rFont val="Arial"/>
            <family val="2"/>
          </rPr>
          <t>Gesamt CO2 der Tour</t>
        </r>
        <r>
          <rPr>
            <sz val="10"/>
            <color rgb="FF000000"/>
            <rFont val="Arial"/>
            <family val="2"/>
          </rPr>
          <t xml:space="preserve">
&lt;500kg: gering
&lt;1000kg: mäßig
&lt;2000kg: groß
&gt;2000kg: sehr groß  - bitte besonders optimieren! </t>
        </r>
      </text>
    </comment>
    <comment ref="A3" authorId="0" shapeId="0" xr:uid="{5C58D2E4-0072-4DCF-B964-9F02149092B7}">
      <text>
        <r>
          <rPr>
            <b/>
            <sz val="9"/>
            <color indexed="81"/>
            <rFont val="Segoe UI"/>
            <family val="2"/>
          </rPr>
          <t>max. Teilnehmende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" authorId="1" shapeId="0" xr:uid="{ADEC7129-8216-46A4-9E9D-DB709F430CA9}">
      <text>
        <r>
          <rPr>
            <b/>
            <sz val="10"/>
            <color rgb="FF000000"/>
            <rFont val="Arial"/>
            <family val="2"/>
          </rPr>
          <t xml:space="preserve">Durchschnitt kg CO2/Tag in D </t>
        </r>
        <r>
          <rPr>
            <sz val="10"/>
            <color rgb="FF000000"/>
            <rFont val="Arial"/>
            <family val="2"/>
          </rPr>
          <t xml:space="preserve">
für Mobilität: 5,9
für Wohnen: 7,4 
für Ernährung: 4,6
&lt;18:akzeptabel
&lt;=27 mässig
&lt;=36 ungünstig
&gt;36 schlecht</t>
        </r>
      </text>
    </comment>
    <comment ref="A4" authorId="2" shapeId="0" xr:uid="{1382A93B-0ADC-4DBE-9394-C7FE9ABDFCCE}">
      <text>
        <r>
          <rPr>
            <sz val="10"/>
            <color rgb="FF000000"/>
            <rFont val="Arial"/>
          </rPr>
          <t xml:space="preserve">Mindesteilnehmerzahl:
-&gt; ggf. von Hand überschreiben
4 Teilnehmer (1 Organisator + mindestens 3 Teilnehmer, alle Teilnehmer müssen DAV-Mitglieder sein) für:
 Hochtouren
 Alpine Klettertouren
 Hochalpine Klettersteige
 Skihochtouren
 Schneeschuhhochtouren
 Alpine MTB-Touren
6 Teilnehmer (1Organisator + mindestens 5 Teilnehmer, auch Nicht-DAV-Mitglieder zulässig) für:
 MTB-Touren in Mittelgebirgen
 Skitouren
 Schneeschuhtouren
 Alpine Bergwanderungen
 Klettersteige
 Wanderungen in Mittelgebirgen
 Radwanderungen
</t>
        </r>
      </text>
    </comment>
    <comment ref="D4" authorId="0" shapeId="0" xr:uid="{85A1A70F-69FC-48EF-BF7C-6ED1E90B4FC3}">
      <text>
        <r>
          <rPr>
            <b/>
            <sz val="9"/>
            <color indexed="81"/>
            <rFont val="Segoe UI"/>
            <family val="2"/>
          </rPr>
          <t>durchschnittliche Personenzahl berechnet anhand der Übernachtungen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Y4" authorId="1" shapeId="0" xr:uid="{B6C7AD2F-F166-46E4-A449-99A7BED9ADD2}">
      <text>
        <r>
          <rPr>
            <sz val="10"/>
            <color rgb="FF000000"/>
            <rFont val="Arial"/>
            <family val="2"/>
          </rPr>
          <t>Durchschnitt kg CO2/Tag in D 
für Mobilität: 5,9
&lt;5,9:akzeptabel
&lt;=8,9 mässig
&lt;=11,8 ungünstig
&gt;11,8 schlecht</t>
        </r>
      </text>
    </comment>
    <comment ref="BI4" authorId="1" shapeId="0" xr:uid="{5D9D02E6-3E7C-4AF1-83BF-EDDC81A0C2CE}">
      <text>
        <r>
          <rPr>
            <sz val="10"/>
            <color rgb="FF000000"/>
            <rFont val="Arial"/>
            <family val="2"/>
          </rPr>
          <t>Durchschnitt kg CO2/Tag in D 
für Wohnen: 7,4 
für Ernährung: 4,6
&lt;12 akzeptabel
&lt;=18 mässig
&lt;=24 ungünstig
&gt;24 schlecht</t>
        </r>
      </text>
    </comment>
    <comment ref="BL4" authorId="1" shapeId="0" xr:uid="{6109E07B-015D-4014-B522-4E96D95F831F}">
      <text>
        <r>
          <rPr>
            <sz val="10"/>
            <color rgb="FF000000"/>
            <rFont val="Arial"/>
            <family val="2"/>
          </rPr>
          <t>vorhanden (+)
ausleihen (-)
kein Bedarf ()</t>
        </r>
      </text>
    </comment>
    <comment ref="D5" authorId="0" shapeId="0" xr:uid="{FBB0FE17-7E8B-47E8-854B-2E2457C6344B}">
      <text>
        <r>
          <rPr>
            <sz val="9"/>
            <color indexed="81"/>
            <rFont val="Segoe UI"/>
            <family val="2"/>
          </rPr>
          <t>Ist-Tage anhand der Übernachtungen</t>
        </r>
      </text>
    </comment>
    <comment ref="K7" authorId="0" shapeId="0" xr:uid="{10050704-BD93-4F6E-843A-1A5AD31161C1}">
      <text>
        <r>
          <rPr>
            <b/>
            <sz val="9"/>
            <color indexed="81"/>
            <rFont val="Segoe UI"/>
            <family val="2"/>
          </rPr>
          <t>g CO2 / Person / km:
grün: &lt;=45g
orange: &lt;67,5g
gelb: &lt;90g
rot</t>
        </r>
      </text>
    </comment>
    <comment ref="X7" authorId="0" shapeId="0" xr:uid="{68486A49-C4A3-4979-A76A-1073532501B4}">
      <text>
        <r>
          <rPr>
            <sz val="10"/>
            <color rgb="FF000000"/>
            <rFont val="Arial"/>
            <family val="2"/>
          </rPr>
          <t>gut : Bahn 45g/km/Person
ungünstig: &lt;67g
schlecht: &lt;=90
sehr schlecht &gt;90g</t>
        </r>
      </text>
    </comment>
    <comment ref="X8" authorId="0" shapeId="0" xr:uid="{0B3AB768-2C61-4264-BC7E-67057E3C7349}">
      <text>
        <r>
          <rPr>
            <b/>
            <sz val="9"/>
            <color indexed="81"/>
            <rFont val="Segoe UI"/>
            <family val="2"/>
          </rPr>
          <t>Auslastung PKW [%]
mit Personen</t>
        </r>
        <r>
          <rPr>
            <sz val="9"/>
            <color indexed="81"/>
            <rFont val="Segoe UI"/>
            <family val="2"/>
          </rPr>
          <t xml:space="preserve">
rot:&lt;50% 
organge: &lt;=66%
gelb: &lt;75%
grün</t>
        </r>
      </text>
    </comment>
    <comment ref="A9" authorId="0" shapeId="0" xr:uid="{BF70BB22-662C-4FBB-A048-EFB84A623D59}">
      <text>
        <r>
          <rPr>
            <b/>
            <sz val="9"/>
            <color indexed="81"/>
            <rFont val="Segoe UI"/>
            <family val="2"/>
          </rPr>
          <t>Summe Teilnehmende</t>
        </r>
      </text>
    </comment>
    <comment ref="E9" authorId="0" shapeId="0" xr:uid="{CFD4CF99-13E1-4D26-B259-0D47649911B2}">
      <text>
        <r>
          <rPr>
            <sz val="9"/>
            <color indexed="81"/>
            <rFont val="Segoe UI"/>
            <family val="2"/>
          </rPr>
          <t>DAV Sektion Altdorf
oder
andere DAV-Sektion</t>
        </r>
      </text>
    </comment>
    <comment ref="J9" authorId="0" shapeId="0" xr:uid="{7FD6B8B0-51DC-4C77-9A80-D06C83787F89}">
      <text>
        <r>
          <rPr>
            <b/>
            <sz val="9"/>
            <color indexed="81"/>
            <rFont val="Segoe UI"/>
            <family val="2"/>
          </rPr>
          <t>unbelegte Sitzplätze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0" authorId="0" shapeId="0" xr:uid="{A728CBF7-2E90-46E7-9CCA-B01344712715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1" authorId="0" shapeId="0" xr:uid="{C835917D-D752-4EFF-9FDA-B90DA7A65EED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2" authorId="0" shapeId="0" xr:uid="{02AAB5F4-A9AB-4E46-84B3-CADE92AA5779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3" authorId="0" shapeId="0" xr:uid="{B402B58B-397F-4D08-AA1F-01495D540654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4" authorId="0" shapeId="0" xr:uid="{D27E6285-6940-4CEA-9CA9-8E13BC28DAF5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5" authorId="0" shapeId="0" xr:uid="{A5894765-E6B4-47C8-B087-4634F8FC42FB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6" authorId="0" shapeId="0" xr:uid="{729236E8-1BBE-4C9B-8947-C2207F07E8A0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7" authorId="0" shapeId="0" xr:uid="{32818C1C-774C-417E-9C07-3352CC5C80C7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8" authorId="0" shapeId="0" xr:uid="{9754A807-955C-4E0A-A4E1-44826595BD94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9" authorId="0" shapeId="0" xr:uid="{53DEEB20-9EF3-475D-BC9F-78478CAD1D18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0" authorId="0" shapeId="0" xr:uid="{8C28B3E4-CA42-4C63-A8CA-9E342C26C693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1" authorId="0" shapeId="0" xr:uid="{F8488B60-4514-4A6D-BC47-D58AA92A620E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2" authorId="0" shapeId="0" xr:uid="{8925A177-813D-4A05-BE5F-1CB534774A6D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3" authorId="0" shapeId="0" xr:uid="{6A05ED26-2417-4B78-97B1-3224442FAB4E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4" authorId="0" shapeId="0" xr:uid="{94A134BF-2AE5-4A98-9FF9-2D4EB670A2D3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5" authorId="0" shapeId="0" xr:uid="{24780EAD-C943-458F-B33C-0C74648A171E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6" authorId="0" shapeId="0" xr:uid="{F7935199-9A88-4E6D-A9FF-C0A26C53D614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7" authorId="0" shapeId="0" xr:uid="{49820A63-D54C-49E8-94C8-A67772ADDBBC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8" authorId="0" shapeId="0" xr:uid="{C0E5106A-C99C-4E6C-BCB1-3903A0FAF202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9" authorId="0" shapeId="0" xr:uid="{1C136E59-77B2-4DC6-9266-D102F9203241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30" authorId="0" shapeId="0" xr:uid="{88D011D6-15C9-412E-AF99-CBD534A6D66C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31" authorId="0" shapeId="0" xr:uid="{7FFCFC30-9719-4C73-827D-7900DABE79D7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32" authorId="0" shapeId="0" xr:uid="{6FAAEA34-AF8F-4C55-9863-DC57C4DEE3AA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33" authorId="0" shapeId="0" xr:uid="{8D996FDE-B43A-43D7-BD59-2C807204684C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34" authorId="0" shapeId="0" xr:uid="{D04033FE-DB12-477F-A8C4-89B194A885B3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35" authorId="0" shapeId="0" xr:uid="{5989227A-D4F2-46F3-877F-658AF54903C3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36" authorId="0" shapeId="0" xr:uid="{6115BE1D-C533-4BBB-B368-3F586E8BC840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37" authorId="0" shapeId="0" xr:uid="{BF631CF0-A270-469F-BF99-555C4D2B50B5}">
      <text>
        <r>
          <rPr>
            <b/>
            <sz val="9"/>
            <color indexed="81"/>
            <rFont val="Segoe UI"/>
            <family val="2"/>
          </rPr>
          <t>bei Absage: diese Zelle löschen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39" authorId="0" shapeId="0" xr:uid="{41A1A427-577F-4B66-AF91-FBD5F96E93C9}">
      <text>
        <r>
          <rPr>
            <b/>
            <sz val="9"/>
            <color indexed="81"/>
            <rFont val="Segoe UI"/>
            <family val="2"/>
          </rPr>
          <t>Textvorschlag für Email oder Signal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40" authorId="0" shapeId="0" xr:uid="{BD62DA3F-6B3A-45BA-9D7C-314FED7F1538}">
      <text>
        <r>
          <rPr>
            <b/>
            <sz val="9"/>
            <color indexed="81"/>
            <rFont val="Segoe UI"/>
            <family val="2"/>
          </rPr>
          <t>Textvorschlag für Email</t>
        </r>
      </text>
    </comment>
    <comment ref="F42" authorId="0" shapeId="0" xr:uid="{911ED3FD-6A67-4E3D-9ABE-53DBA4036392}">
      <text>
        <r>
          <rPr>
            <b/>
            <sz val="9"/>
            <color indexed="81"/>
            <rFont val="Segoe UI"/>
            <family val="2"/>
          </rPr>
          <t>Textvorschlag für Email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45" authorId="0" shapeId="0" xr:uid="{EE309B39-3E23-4F54-B0C6-CA0D5BAF94A9}">
      <text>
        <r>
          <rPr>
            <b/>
            <sz val="9"/>
            <color indexed="81"/>
            <rFont val="Segoe UI"/>
            <family val="2"/>
          </rPr>
          <t>jan:</t>
        </r>
        <r>
          <rPr>
            <sz val="9"/>
            <color indexed="81"/>
            <rFont val="Segoe UI"/>
            <family val="2"/>
          </rPr>
          <t xml:space="preserve">
HilfsFormeln - nicht verändern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</author>
  </authors>
  <commentList>
    <comment ref="J15" authorId="0" shapeId="0" xr:uid="{9ECC0938-5F39-4A19-AB13-D98A0E8085E7}">
      <text>
        <r>
          <rPr>
            <b/>
            <sz val="9"/>
            <color indexed="81"/>
            <rFont val="Segoe UI"/>
            <family val="2"/>
          </rPr>
          <t>Quelle: Signal/Reichenbach</t>
        </r>
      </text>
    </comment>
    <comment ref="R15" authorId="0" shapeId="0" xr:uid="{8D91FCB9-106D-44CB-B9C7-067390935BC1}">
      <text>
        <r>
          <rPr>
            <b/>
            <sz val="9"/>
            <color indexed="81"/>
            <rFont val="Segoe UI"/>
            <family val="2"/>
          </rPr>
          <t xml:space="preserve">Quelle: atmosfair.de
</t>
        </r>
      </text>
    </comment>
    <comment ref="T15" authorId="0" shapeId="0" xr:uid="{E803ECC5-9F2C-4479-A57C-4B3315A841E7}">
      <text>
        <r>
          <rPr>
            <b/>
            <sz val="9"/>
            <color indexed="81"/>
            <rFont val="Segoe UI"/>
            <family val="2"/>
          </rPr>
          <t>Quelle: Schätzung</t>
        </r>
      </text>
    </comment>
    <comment ref="V15" authorId="0" shapeId="0" xr:uid="{BE8E4FA6-4241-4975-B876-AE0402D05E4C}">
      <text>
        <r>
          <rPr>
            <b/>
            <sz val="9"/>
            <color indexed="81"/>
            <rFont val="Segoe UI"/>
            <family val="2"/>
          </rPr>
          <t>Quelle: Schätzung</t>
        </r>
      </text>
    </comment>
    <comment ref="AA15" authorId="0" shapeId="0" xr:uid="{4681E846-BB58-41D9-8EE5-9FB0F56717A9}">
      <text>
        <r>
          <rPr>
            <b/>
            <sz val="9"/>
            <color indexed="81"/>
            <rFont val="Segoe UI"/>
            <family val="2"/>
          </rPr>
          <t>Quelle: Schätzung</t>
        </r>
      </text>
    </comment>
    <comment ref="T16" authorId="0" shapeId="0" xr:uid="{25AA3963-C23A-42CD-B596-22BA31C0820F}">
      <text>
        <r>
          <rPr>
            <b/>
            <sz val="9"/>
            <color indexed="81"/>
            <rFont val="Segoe UI"/>
            <family val="2"/>
          </rPr>
          <t xml:space="preserve">Annahme </t>
        </r>
      </text>
    </comment>
    <comment ref="R19" authorId="0" shapeId="0" xr:uid="{00F1F804-1B76-4A82-8A54-99BD14F8747E}">
      <text>
        <r>
          <rPr>
            <b/>
            <sz val="9"/>
            <color indexed="81"/>
            <rFont val="Segoe UI"/>
            <family val="2"/>
          </rPr>
          <t>Annahme relativ zu oben</t>
        </r>
      </text>
    </comment>
    <comment ref="R20" authorId="0" shapeId="0" xr:uid="{C02D1BE9-9533-4C21-916F-7815AF858CE0}">
      <text>
        <r>
          <rPr>
            <b/>
            <sz val="9"/>
            <color indexed="81"/>
            <rFont val="Segoe UI"/>
            <family val="2"/>
          </rPr>
          <t>planetly</t>
        </r>
      </text>
    </comment>
    <comment ref="R21" authorId="0" shapeId="0" xr:uid="{2ED9A048-CFD5-4829-A69C-C15AE652F301}">
      <text>
        <r>
          <rPr>
            <b/>
            <sz val="9"/>
            <color indexed="81"/>
            <rFont val="Segoe UI"/>
            <family val="2"/>
          </rPr>
          <t>planetly</t>
        </r>
      </text>
    </comment>
    <comment ref="R22" authorId="0" shapeId="0" xr:uid="{3598F848-34D0-4422-BD33-AE50FD292B2B}">
      <text>
        <r>
          <rPr>
            <b/>
            <sz val="9"/>
            <color indexed="81"/>
            <rFont val="Segoe UI"/>
            <family val="2"/>
          </rPr>
          <t>planetly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</author>
  </authors>
  <commentList>
    <comment ref="F33" authorId="0" shapeId="0" xr:uid="{CECEEFAA-0661-487C-831C-B7620979CA6A}">
      <text>
        <r>
          <rPr>
            <sz val="9"/>
            <color indexed="81"/>
            <rFont val="Segoe UI"/>
            <family val="2"/>
          </rPr>
          <t xml:space="preserve">nur bei &gt;= Mindestteilnehmerzahl
</t>
        </r>
      </text>
    </comment>
    <comment ref="N33" authorId="0" shapeId="0" xr:uid="{F8697901-7394-47DA-A356-8AEF6B182C62}">
      <text>
        <r>
          <rPr>
            <b/>
            <sz val="9"/>
            <color indexed="81"/>
            <rFont val="Segoe UI"/>
            <family val="2"/>
          </rPr>
          <t>nur bei &gt;= Mindestteilnehmerzahl</t>
        </r>
      </text>
    </comment>
    <comment ref="F34" authorId="0" shapeId="0" xr:uid="{B2531544-CDE5-415F-A1DE-00DF1F14EC5F}">
      <text>
        <r>
          <rPr>
            <b/>
            <sz val="9"/>
            <color indexed="81"/>
            <rFont val="Segoe UI"/>
            <family val="2"/>
          </rPr>
          <t>ggf. gedeckelt auf Teilnahmegebühren</t>
        </r>
      </text>
    </comment>
    <comment ref="N34" authorId="0" shapeId="0" xr:uid="{6DB915ED-E039-4872-A3E8-E6E4A054D021}">
      <text>
        <r>
          <rPr>
            <b/>
            <sz val="9"/>
            <color indexed="81"/>
            <rFont val="Segoe UI"/>
            <family val="2"/>
          </rPr>
          <t>ggf. gedeckelt auf Teilnahmegebühren</t>
        </r>
      </text>
    </comment>
  </commentList>
</comments>
</file>

<file path=xl/sharedStrings.xml><?xml version="1.0" encoding="utf-8"?>
<sst xmlns="http://schemas.openxmlformats.org/spreadsheetml/2006/main" count="802" uniqueCount="530">
  <si>
    <t>Teilnahmeliste</t>
  </si>
  <si>
    <t>DAV Altdorf</t>
  </si>
  <si>
    <t>Fahrgemeinschaft (-&gt; mit Fahrer absprechen)</t>
  </si>
  <si>
    <t>Übernachtungen</t>
  </si>
  <si>
    <t>Ausrüstung (-&gt; mit Orga. absprechen)</t>
  </si>
  <si>
    <t>Bergsteigergruppe</t>
  </si>
  <si>
    <t>bs-2025-xx-xx</t>
  </si>
  <si>
    <t>kgCO2</t>
  </si>
  <si>
    <t>AusschreibungsText:
&lt; aus Webseite Touren-Angebot &gt;</t>
  </si>
  <si>
    <t>Fahr 
zeug</t>
  </si>
  <si>
    <t>NN</t>
  </si>
  <si>
    <t>Unter kunft</t>
  </si>
  <si>
    <t>Zimmergemeinschaft (-&gt; absprechen)</t>
  </si>
  <si>
    <t>Kommentar (Größe, weiteres Material, …</t>
  </si>
  <si>
    <t>Beispieltour egalwohin oder sowi</t>
  </si>
  <si>
    <t>kgCO2 /P /d</t>
  </si>
  <si>
    <t>kg CO2</t>
  </si>
  <si>
    <t>Name</t>
  </si>
  <si>
    <t>Mehrbett / Lager</t>
  </si>
  <si>
    <t>Bergsteigen</t>
  </si>
  <si>
    <t>Pers</t>
  </si>
  <si>
    <t>Typ</t>
  </si>
  <si>
    <t>Regio</t>
  </si>
  <si>
    <t>PKW-Diesel</t>
  </si>
  <si>
    <t>PKW-Benzin</t>
  </si>
  <si>
    <t>ÖPNV</t>
  </si>
  <si>
    <t>Sonst</t>
  </si>
  <si>
    <t>ohne</t>
  </si>
  <si>
    <t>Kategorie</t>
  </si>
  <si>
    <t>Hüt</t>
  </si>
  <si>
    <t>DAV</t>
  </si>
  <si>
    <t>LVS</t>
  </si>
  <si>
    <t>Sonde</t>
  </si>
  <si>
    <t>Schaufel</t>
  </si>
  <si>
    <t>Steigeisen</t>
  </si>
  <si>
    <t>Pickel</t>
  </si>
  <si>
    <t>EisSchraube</t>
  </si>
  <si>
    <t>Seil</t>
  </si>
  <si>
    <t>p.m.</t>
  </si>
  <si>
    <t>Tage</t>
  </si>
  <si>
    <t>l,kWh,kg
/100km</t>
  </si>
  <si>
    <t>TagNr</t>
  </si>
  <si>
    <t>Essen</t>
  </si>
  <si>
    <t>-1: benötige eins
1/2/3: bringe mit 1/2/3</t>
  </si>
  <si>
    <t>Österreich</t>
  </si>
  <si>
    <t>km</t>
  </si>
  <si>
    <t>kgCO2/l</t>
  </si>
  <si>
    <t>Datum</t>
  </si>
  <si>
    <t>Zimmer</t>
  </si>
  <si>
    <t>Lager</t>
  </si>
  <si>
    <t>DZ</t>
  </si>
  <si>
    <t>vegan</t>
  </si>
  <si>
    <t>&lt;Ort&gt;</t>
  </si>
  <si>
    <t>CO2 
[g/Pkm]</t>
  </si>
  <si>
    <t>Wochentag</t>
  </si>
  <si>
    <t>ÜF/ HP</t>
  </si>
  <si>
    <t>HP</t>
  </si>
  <si>
    <t>veget</t>
  </si>
  <si>
    <t>Anzahlung</t>
  </si>
  <si>
    <t>benötigt (-)</t>
  </si>
  <si>
    <t>Liftbenutzung:</t>
  </si>
  <si>
    <t>Sitz
plätze</t>
  </si>
  <si>
    <t>Plätze</t>
  </si>
  <si>
    <t>fleisch</t>
  </si>
  <si>
    <t>vorhanden (+)</t>
  </si>
  <si>
    <t>Vorname</t>
  </si>
  <si>
    <t>Funktion</t>
  </si>
  <si>
    <t>Kommentar 1</t>
  </si>
  <si>
    <t>Kommentar 2</t>
  </si>
  <si>
    <t xml:space="preserve"> </t>
  </si>
  <si>
    <t>Komm. Hin</t>
  </si>
  <si>
    <t>Komm. Rück</t>
  </si>
  <si>
    <t>Kommentar</t>
  </si>
  <si>
    <t>Summe</t>
  </si>
  <si>
    <t>VOrga</t>
  </si>
  <si>
    <t>NOrga</t>
  </si>
  <si>
    <t>Orga (mit Abrechnung)</t>
  </si>
  <si>
    <t>Stand:</t>
  </si>
  <si>
    <t>To  Do</t>
  </si>
  <si>
    <t>Anmeldebestätigung an Teilnehmende /
Einladen in Signalgruppe</t>
  </si>
  <si>
    <t>ab Veröffentlichung</t>
  </si>
  <si>
    <t>F A Q</t>
  </si>
  <si>
    <t>Treffpunkte?</t>
  </si>
  <si>
    <t>Dachkoffer?</t>
  </si>
  <si>
    <t xml:space="preserve">F A Q </t>
  </si>
  <si>
    <t>Schlafsack?</t>
  </si>
  <si>
    <t>Sammel-Ausleihe in GS?</t>
  </si>
  <si>
    <t>Hallo DAV-Team,
die zum Meldeschluss gemeldeten Teilnehmenden habe ich in die Teilnahmeliste eingetragen.
Änderungen pflege ich dort zeitnah ein…
Den Tourenabschluss mit aktueller Teilnahmeliste melde ich per Email…</t>
  </si>
  <si>
    <t>Radträger?</t>
  </si>
  <si>
    <t>Kartenzahlung?</t>
  </si>
  <si>
    <t>Gruppen-Ausrüstung?</t>
  </si>
  <si>
    <t>Teilnehmende aktualisieren vor Start</t>
  </si>
  <si>
    <t>ggf. Screenshots der Teilnahmeliste in Signal mit der Gruppe teilen</t>
  </si>
  <si>
    <t>Handtuch?</t>
  </si>
  <si>
    <t>Hallo DAV-Team,
die Tour verlief unfallfrei.
Den Istzustand habe ich in der Teilnahmeliste abschließend aktualisiert.
-&gt; Ich bitte um Kostenerstattung als Organisator - siehe Register 'Kosten'
Ein Co-Organisator war nicht erforderlich.
Die Klimaschutz-relevanten Daten im Register 'Klimaerfassung' hab ich geprüft und können weitergegeben werden.</t>
  </si>
  <si>
    <t>Hüttenschuhe?</t>
  </si>
  <si>
    <t>Foto-Tausch?</t>
  </si>
  <si>
    <t xml:space="preserve">Verbesserungsvorschläge an: </t>
  </si>
  <si>
    <t>jan.kuerschner@dav-altdorf.de</t>
  </si>
  <si>
    <t>------ Legende -------</t>
  </si>
  <si>
    <t>------ Ampel -------</t>
  </si>
  <si>
    <t>----- Excel-Register -</t>
  </si>
  <si>
    <t>weiß</t>
  </si>
  <si>
    <t>Eingabefeld</t>
  </si>
  <si>
    <t>Rot</t>
  </si>
  <si>
    <t>schlecht</t>
  </si>
  <si>
    <t>Anmeldeliste</t>
  </si>
  <si>
    <t>Planungsliste incl. CO2-Emissionen</t>
  </si>
  <si>
    <t>hellgelb</t>
  </si>
  <si>
    <t>Zwangs-Eingabefeld (Eingabe fehlt)</t>
  </si>
  <si>
    <t>Orange</t>
  </si>
  <si>
    <t>ungünstig</t>
  </si>
  <si>
    <t>Hilfeliste</t>
  </si>
  <si>
    <t>Hilfe und Einstellungen</t>
  </si>
  <si>
    <t>grau</t>
  </si>
  <si>
    <t>Beschriftungsfeld</t>
  </si>
  <si>
    <t>Gelb</t>
  </si>
  <si>
    <t>mässig gut</t>
  </si>
  <si>
    <t>ET-PKW</t>
  </si>
  <si>
    <t>Abrechnung Orga</t>
  </si>
  <si>
    <t>blaue Schrift</t>
  </si>
  <si>
    <t>autom. Formel: möglichst nicht verändern</t>
  </si>
  <si>
    <t>Grün</t>
  </si>
  <si>
    <t>akzeptabel</t>
  </si>
  <si>
    <t>ET-öff</t>
  </si>
  <si>
    <t>AbrechnungCo-Orga</t>
  </si>
  <si>
    <t>rot</t>
  </si>
  <si>
    <t>Achtung Problem</t>
  </si>
  <si>
    <t>EingabeMaske</t>
  </si>
  <si>
    <t>Code.Gaia CO2-Erfassung</t>
  </si>
  <si>
    <t>gelb</t>
  </si>
  <si>
    <t>Warnung, Hinweis</t>
  </si>
  <si>
    <t>grün</t>
  </si>
  <si>
    <t>hervorgehoben</t>
  </si>
  <si>
    <t>hellblau</t>
  </si>
  <si>
    <t>Link für Email-Versand</t>
  </si>
  <si>
    <t>Passwort für Blattschutz:</t>
  </si>
  <si>
    <t>000</t>
  </si>
  <si>
    <t>zentrale Einstellungen für Überprüfungen</t>
  </si>
  <si>
    <t>Sektion</t>
  </si>
  <si>
    <t>Gruppen</t>
  </si>
  <si>
    <t>Gruppen-email</t>
  </si>
  <si>
    <t>Mitgliedschaft</t>
  </si>
  <si>
    <t>TNL-Gebühr</t>
  </si>
  <si>
    <t>Öffi-Zuschuss</t>
  </si>
  <si>
    <t>StartZeit</t>
  </si>
  <si>
    <t>Essen -kg CO2</t>
  </si>
  <si>
    <t>Veranstaltungstyp</t>
  </si>
  <si>
    <t>Sportarten</t>
  </si>
  <si>
    <t>Mindestteilnehmende</t>
  </si>
  <si>
    <t>Co-Orga ab</t>
  </si>
  <si>
    <t>Unt</t>
  </si>
  <si>
    <t>Unterkünfte</t>
  </si>
  <si>
    <t>Unterkünfte kg CO2</t>
  </si>
  <si>
    <t>Lift</t>
  </si>
  <si>
    <t>Lift -kg CO2</t>
  </si>
  <si>
    <t>CO2</t>
  </si>
  <si>
    <t>€/t</t>
  </si>
  <si>
    <t>Transportmittel</t>
  </si>
  <si>
    <t>Trsp</t>
  </si>
  <si>
    <t>Trsp kg CO2/km</t>
  </si>
  <si>
    <t>TransportDAV</t>
  </si>
  <si>
    <t>Trsp -kg CO2 /l (kW, kg)</t>
  </si>
  <si>
    <t>kg</t>
  </si>
  <si>
    <t>l/100km</t>
  </si>
  <si>
    <t>Länder</t>
  </si>
  <si>
    <t>MonatNr</t>
  </si>
  <si>
    <t>Monate</t>
  </si>
  <si>
    <t>Funktionen</t>
  </si>
  <si>
    <t>Spritgeld</t>
  </si>
  <si>
    <t>info@dav-altdorf.de</t>
  </si>
  <si>
    <t>a.m.</t>
  </si>
  <si>
    <t>Veranstaltung</t>
  </si>
  <si>
    <t>Hochtour</t>
  </si>
  <si>
    <t>Biw</t>
  </si>
  <si>
    <t>Biwak</t>
  </si>
  <si>
    <t>Gondel/Lift</t>
  </si>
  <si>
    <t>Preis2023</t>
  </si>
  <si>
    <t>Diesel/Benzin/CNG&amp;LPG-PKW</t>
  </si>
  <si>
    <t>PKW</t>
  </si>
  <si>
    <t>Deutschland</t>
  </si>
  <si>
    <t>JAN</t>
  </si>
  <si>
    <t>Familiengruppe</t>
  </si>
  <si>
    <t>familien@dav-altdorf.de</t>
  </si>
  <si>
    <t>Gremiensitzung</t>
  </si>
  <si>
    <t>(Berg-)Wandern</t>
  </si>
  <si>
    <t>Camp</t>
  </si>
  <si>
    <t>Camping</t>
  </si>
  <si>
    <t>Preis2025</t>
  </si>
  <si>
    <t>Elektro-PKW</t>
  </si>
  <si>
    <t>Strom</t>
  </si>
  <si>
    <t>??</t>
  </si>
  <si>
    <t>FEB</t>
  </si>
  <si>
    <t>Co-Orga (mit Abrechnung)</t>
  </si>
  <si>
    <t>VAN (&gt;5 Plätze)</t>
  </si>
  <si>
    <t>Jugend I</t>
  </si>
  <si>
    <t>jugend1@dav-altdorf.de</t>
  </si>
  <si>
    <t>div</t>
  </si>
  <si>
    <t>Tour/Kurs</t>
  </si>
  <si>
    <t>DAV Hütte</t>
  </si>
  <si>
    <t>Preis2030</t>
  </si>
  <si>
    <t>Van/Transporter</t>
  </si>
  <si>
    <t>Van</t>
  </si>
  <si>
    <t>PKW-LPG</t>
  </si>
  <si>
    <t>Schweiz</t>
  </si>
  <si>
    <t>MRZ</t>
  </si>
  <si>
    <t>Patin</t>
  </si>
  <si>
    <t>kein Auto</t>
  </si>
  <si>
    <t>Jugend II</t>
  </si>
  <si>
    <t>jugend@dav-altdorf.de</t>
  </si>
  <si>
    <t>Gruppenausfahrt</t>
  </si>
  <si>
    <t>Leistungsbergsteigen</t>
  </si>
  <si>
    <t>Hütte (nicht DAV)</t>
  </si>
  <si>
    <t>Sektionsbus/Sektionsfahrzeug</t>
  </si>
  <si>
    <t>Sekt</t>
  </si>
  <si>
    <t>PKW-CNG</t>
  </si>
  <si>
    <t>Italien</t>
  </si>
  <si>
    <t>APR</t>
  </si>
  <si>
    <t>Vertreterin</t>
  </si>
  <si>
    <t>Jungmannschaft</t>
  </si>
  <si>
    <t>jungmannschaft@dav-altdorf.de</t>
  </si>
  <si>
    <t>Gruppentreffen</t>
  </si>
  <si>
    <t>(Sport-)Klettern</t>
  </si>
  <si>
    <t>Hot2</t>
  </si>
  <si>
    <t>Hotel (Einfach) 0-2*/ Ferienwohnung / Pension</t>
  </si>
  <si>
    <t>Mitfahrende</t>
  </si>
  <si>
    <t>Strom-Öko</t>
  </si>
  <si>
    <t>Frankreich</t>
  </si>
  <si>
    <t>MAI</t>
  </si>
  <si>
    <t>Umweltschutz-Beauftragte</t>
  </si>
  <si>
    <t>Mitteldrittel</t>
  </si>
  <si>
    <t>mitteldrittel@dav-altdorf.de</t>
  </si>
  <si>
    <t>Alpinklettern</t>
  </si>
  <si>
    <t>Hot4</t>
  </si>
  <si>
    <t>Hotel (Mittelklasse) 3-4*</t>
  </si>
  <si>
    <t>Fahrrad/zu Fuß</t>
  </si>
  <si>
    <t>Rad</t>
  </si>
  <si>
    <t>Strom-Grau</t>
  </si>
  <si>
    <t>Slowenien</t>
  </si>
  <si>
    <t>JUN</t>
  </si>
  <si>
    <t>Sicherheits-Beauftragte</t>
  </si>
  <si>
    <t>Bergradgruppe</t>
  </si>
  <si>
    <t>bergrad@dav-altdorf.de</t>
  </si>
  <si>
    <t>Höhlenklettern</t>
  </si>
  <si>
    <t>Hot5</t>
  </si>
  <si>
    <t>Hotel (Premium) 5*</t>
  </si>
  <si>
    <t>Van-Diesel</t>
  </si>
  <si>
    <t>Spanien</t>
  </si>
  <si>
    <t>JUL</t>
  </si>
  <si>
    <t>Zeitmanagement-Beauftragte</t>
  </si>
  <si>
    <t>Sportklettern</t>
  </si>
  <si>
    <t>sportklettern@dav-altdorf.de</t>
  </si>
  <si>
    <t>Klettersteig</t>
  </si>
  <si>
    <t>Regionalbahn/S-Bahn</t>
  </si>
  <si>
    <t>Van-Benzin</t>
  </si>
  <si>
    <t>Norwegen</t>
  </si>
  <si>
    <t>AUG</t>
  </si>
  <si>
    <t>Gesundheits-Beauftragte</t>
  </si>
  <si>
    <t>bergsteiger@dav-altdorf.de</t>
  </si>
  <si>
    <t>Bouldern</t>
  </si>
  <si>
    <t>Fernverkehr/ICE</t>
  </si>
  <si>
    <t>Fern</t>
  </si>
  <si>
    <t>Sekt-Bus</t>
  </si>
  <si>
    <t>Schweden</t>
  </si>
  <si>
    <t>SEP</t>
  </si>
  <si>
    <t>alle</t>
  </si>
  <si>
    <t>SkiBergsteiger</t>
  </si>
  <si>
    <t>skibergsteiger@dav-altdorf.de</t>
  </si>
  <si>
    <t>MTB</t>
  </si>
  <si>
    <t>Reisebus</t>
  </si>
  <si>
    <t>Bus</t>
  </si>
  <si>
    <t>Dänemark</t>
  </si>
  <si>
    <t>OKT</t>
  </si>
  <si>
    <t>…</t>
  </si>
  <si>
    <t>Senioren</t>
  </si>
  <si>
    <t>senioren@dav-altdorf.de</t>
  </si>
  <si>
    <t>Skitour</t>
  </si>
  <si>
    <t>Diesel/Benzin-PKW/CNG&amp;LPG-PKW</t>
  </si>
  <si>
    <t>Großbritannien</t>
  </si>
  <si>
    <t>NOV</t>
  </si>
  <si>
    <t>Skiabteilung</t>
  </si>
  <si>
    <t>skiabteilung@dav-altdorf.de</t>
  </si>
  <si>
    <t>Skilauf</t>
  </si>
  <si>
    <t>Polen</t>
  </si>
  <si>
    <t>DEZ</t>
  </si>
  <si>
    <t>SeniorenLeicht</t>
  </si>
  <si>
    <t>senioren-leicht@dav-altdorf.de</t>
  </si>
  <si>
    <t>Skilanglauf</t>
  </si>
  <si>
    <t>Belgien</t>
  </si>
  <si>
    <t>Naturschutz</t>
  </si>
  <si>
    <t>naturschutz@dav-altdorf.de</t>
  </si>
  <si>
    <t>Schneeschuhbergsteigen</t>
  </si>
  <si>
    <t>China</t>
  </si>
  <si>
    <t>Schatzmeisterin</t>
  </si>
  <si>
    <t>schatzmeister@dav-altdorf.de</t>
  </si>
  <si>
    <t>Freeride</t>
  </si>
  <si>
    <t>Finnland</t>
  </si>
  <si>
    <t>Geschäftsstelle</t>
  </si>
  <si>
    <t>gs@dav-altdorf.de</t>
  </si>
  <si>
    <t>Segelfliegen/Paragleiten</t>
  </si>
  <si>
    <t>Griechenland</t>
  </si>
  <si>
    <t>Ski-/Konditionsgymnastik</t>
  </si>
  <si>
    <t>Kroatien</t>
  </si>
  <si>
    <t>Wildwasserkajak/Wassersportarten</t>
  </si>
  <si>
    <t>Niederland</t>
  </si>
  <si>
    <t>Sonstiges</t>
  </si>
  <si>
    <t>Peru</t>
  </si>
  <si>
    <t>Keine Sportart</t>
  </si>
  <si>
    <t>Portugal</t>
  </si>
  <si>
    <t>Tschechische Republik</t>
  </si>
  <si>
    <t>x</t>
  </si>
  <si>
    <t>Türkei</t>
  </si>
  <si>
    <t>USA</t>
  </si>
  <si>
    <t>Änderungshistorie</t>
  </si>
  <si>
    <t>Europa (Rest)</t>
  </si>
  <si>
    <t>V 18/09/2025</t>
  </si>
  <si>
    <t>Jan</t>
  </si>
  <si>
    <t>- Öffizuschuss nicht unter Mindestteilnehmerzahl (Kosten Zeile33)
- Fahrtkosten PKW (anteilig) + Öffi (Kosten Zeile 23)</t>
  </si>
  <si>
    <t>Asien (Rest)</t>
  </si>
  <si>
    <t>V 30/07/2025</t>
  </si>
  <si>
    <t>-A4: Notiz zur Mindestteilnehmerzahl lt. Erstattungsregelung erweitert
- Kosten: Ausdruck auf 2 Seiten
- Kosten: Hinweis bei Mindestteilnehmerzahl unterschritten</t>
  </si>
  <si>
    <t>V 21/07/2025</t>
  </si>
  <si>
    <t>- HilfeListe G18: 75 statt 74€
- Öffizuschuss auch unter Mindestteilnehmerzahl (Kosten Zeile32)
- Öffi mit zusätzlicher Kommentarzeile</t>
  </si>
  <si>
    <t>V 02/06/2025</t>
  </si>
  <si>
    <t>- Kosten: Liste Öffi-Zuschüsse</t>
  </si>
  <si>
    <t>V 24/05/2025</t>
  </si>
  <si>
    <t>- Anmeldeliste: Fahrzeug-Auswahl ohne Überschrift
- Klima: Kfz kmOrt neu berechnet
- Anmeldeliste: A14 wiederhergestellt 
- Kosten: Öffihaken entfernt; 30€ entfernt</t>
  </si>
  <si>
    <t>V 19/05/2025</t>
  </si>
  <si>
    <t>- Hilfeliste: Hiistorie umsortiert und Link auf TNL
- Anmeldeliste: Einladungstext
- Kosten: Voreinstellung "kein Auto"
- Kosten: Öffi-Zuschuss anhakbar
- Klima: Mitfahrende jetzt ohne die Öffi-Fahrenden und Sonstige
- Klima: immer Naturraum und Ermittlung ob mit DAV-Hütte</t>
  </si>
  <si>
    <t>V 13/05/2025</t>
  </si>
  <si>
    <t>Kosten: incl. Sonstige Ausgaben</t>
  </si>
  <si>
    <t>Süd-/Zentralamerika (Rest)</t>
  </si>
  <si>
    <t>V 05/05/2025</t>
  </si>
  <si>
    <t>- CodeGaia Verweise durch deutsche Bezeichnungen ersetzt
- neue Abrechnungen von Volker - alte entfernt
- Namen für Verweise ergänzt
- CheckBox statt Zahlen
- Formeln geschützt, Blattschutz
- Makro in Planungsliste für TNL-Übernahme
Abrechnung neue Formatierung
Formelkorrektur Unterkunft, Fahren
Korrekturen</t>
  </si>
  <si>
    <t>V 30/10/2024</t>
  </si>
  <si>
    <t>incl. Abrechnung, Doku, Email-Versand</t>
  </si>
  <si>
    <t>V 29/10/2024</t>
  </si>
  <si>
    <t>Anpassung CodeGaia</t>
  </si>
  <si>
    <t>V 21/09/2022</t>
  </si>
  <si>
    <t>Email-Adresse Bergrad
IBAN Raiffeisen
Hotelwerte von DAV / Planetly</t>
  </si>
  <si>
    <t>V 1/8/2022</t>
  </si>
  <si>
    <t>Verknüpfungen entfernt (auf DAV-Erfassung)
RO-Link entfernt wg. Security Warnung in Linux/OpenOffice</t>
  </si>
  <si>
    <t>V 31/7/2022</t>
  </si>
  <si>
    <t>Anpassung Unterkünft nach HRS Greenstay</t>
  </si>
  <si>
    <t>V 24/7/2022</t>
  </si>
  <si>
    <t>Optik Permanentbereich</t>
  </si>
  <si>
    <t>Afrika (Rest)</t>
  </si>
  <si>
    <t>V 6/7/2022</t>
  </si>
  <si>
    <t>Anpassung nach Klimaschutztreffen: Unterkünfte niedriger bewertet (Annahmen); Hotels umbenannt; Emails verkürzt; default: fleisch</t>
  </si>
  <si>
    <t>Naher Osten/Arabischer Golf (Rest)</t>
  </si>
  <si>
    <t>V 4/7/2022</t>
  </si>
  <si>
    <t>Ampeln grün ab 100% statt 75%; Register farbig</t>
  </si>
  <si>
    <t>V 5/11/2024</t>
  </si>
  <si>
    <t>Tagestour ohne Ü, aber mit Essen</t>
  </si>
  <si>
    <t>V 9/11/2024</t>
  </si>
  <si>
    <t>Emissionsfaktoren von CodeGaia</t>
  </si>
  <si>
    <t>ca. 2010</t>
  </si>
  <si>
    <t>Ursprung Familiengruppe &gt; Bergradgruppe</t>
  </si>
  <si>
    <t>Abrechnung Gemeinschaftstour  Organisatorin</t>
  </si>
  <si>
    <t>Abrechnung Gemeinschaftstour  Co-Organisatorin</t>
  </si>
  <si>
    <t>Gruppe:</t>
  </si>
  <si>
    <t>Datum:</t>
  </si>
  <si>
    <t>von</t>
  </si>
  <si>
    <t>bis</t>
  </si>
  <si>
    <t>Organisatorin der Fahrt:</t>
  </si>
  <si>
    <t>Tour-Nr.</t>
  </si>
  <si>
    <t>Co-Organisatorin der Fahrt:</t>
  </si>
  <si>
    <t>Anzahl der GebührenTage</t>
  </si>
  <si>
    <t>Dauer</t>
  </si>
  <si>
    <t>Teilnehmer (lt. beil. Teilnehmerliste):</t>
  </si>
  <si>
    <t>Mitglied</t>
  </si>
  <si>
    <t>Gast</t>
  </si>
  <si>
    <t>Anzahl Teilnehmer</t>
  </si>
  <si>
    <t>Gebühr</t>
  </si>
  <si>
    <t>Organisatoren</t>
  </si>
  <si>
    <t>Teilnehmer:</t>
  </si>
  <si>
    <t>Teilnehmer insgesamt:</t>
  </si>
  <si>
    <t xml:space="preserve">Fahrkosten </t>
  </si>
  <si>
    <t>Gesamt-km</t>
  </si>
  <si>
    <t>Anzahl Personen im Fahrzeug</t>
  </si>
  <si>
    <t>Fahrzeugart</t>
  </si>
  <si>
    <t>Kraftstoffkosten (€)</t>
  </si>
  <si>
    <t>Mietkosten (€)</t>
  </si>
  <si>
    <t>Parkgebühren (€)</t>
  </si>
  <si>
    <t>Maut (€)</t>
  </si>
  <si>
    <t>Ticketkosten Öffis (€) - nur Orga</t>
  </si>
  <si>
    <t>Ticketkosten Öffis (€) - nur CoOrga</t>
  </si>
  <si>
    <t>mit Deutschlandticket</t>
  </si>
  <si>
    <t>Summe anteilige Fahrkosten</t>
  </si>
  <si>
    <t>Anzahl der freien Übernachtungen</t>
  </si>
  <si>
    <t>Übernachtungsmehraufwand</t>
  </si>
  <si>
    <t>Anzahl</t>
  </si>
  <si>
    <t>Übernachtungspauschale</t>
  </si>
  <si>
    <t>Betrag</t>
  </si>
  <si>
    <t>Verpflegungsmehraufwand</t>
  </si>
  <si>
    <t xml:space="preserve">Verpflegungspauschale </t>
  </si>
  <si>
    <t>An- und Abreisetag</t>
  </si>
  <si>
    <t>Zwischentage</t>
  </si>
  <si>
    <t>Sonstige Kosten (spezifizieren)</t>
  </si>
  <si>
    <t>Anzahlung durch Sektion</t>
  </si>
  <si>
    <t>Summe Ausgaben:</t>
  </si>
  <si>
    <t>GruppenZuschuss für Öffi-Nutzung</t>
  </si>
  <si>
    <t>Erstattungsbetrag:</t>
  </si>
  <si>
    <t>Betrag überweisen an:</t>
  </si>
  <si>
    <t>IBAN:</t>
  </si>
  <si>
    <t>gez.</t>
  </si>
  <si>
    <t>(Ort, Datum)</t>
  </si>
  <si>
    <t>Quelle: DAV_Veranstaltungsrechner_BJ2024_26.02.24</t>
  </si>
  <si>
    <t>DAV Veranstaltungsaktivitäten</t>
  </si>
  <si>
    <t>Deutscher Alpenverein</t>
  </si>
  <si>
    <t>DATENPUNKT</t>
  </si>
  <si>
    <t>BESCHREIBUNG</t>
  </si>
  <si>
    <t>BEISPIEL</t>
  </si>
  <si>
    <t>EINHEIT</t>
  </si>
  <si>
    <t>NOTIZEN</t>
  </si>
  <si>
    <t>Allgemeine Daten</t>
  </si>
  <si>
    <r>
      <t>DAV-Sektion</t>
    </r>
    <r>
      <rPr>
        <b/>
        <sz val="10"/>
        <color theme="5"/>
        <rFont val="Tahoma"/>
        <family val="2"/>
      </rPr>
      <t>*</t>
    </r>
  </si>
  <si>
    <t>Sektion, die die Veranstaltung organisiert</t>
  </si>
  <si>
    <t>Friedrichshafen</t>
  </si>
  <si>
    <t>Veranstaltungs/-Gruppennamen</t>
  </si>
  <si>
    <t>Name der Veranstaltung/Gruppe</t>
  </si>
  <si>
    <t>Kletterfüchse</t>
  </si>
  <si>
    <t>Referat/Geschäftsbereich/Abteilung</t>
  </si>
  <si>
    <t>Freitextfeld zur Kategorisierung der Aktivitäten</t>
  </si>
  <si>
    <r>
      <t>Sportart</t>
    </r>
    <r>
      <rPr>
        <b/>
        <sz val="10"/>
        <color rgb="FFFF0000"/>
        <rFont val="Tahoma"/>
        <family val="2"/>
      </rPr>
      <t>*</t>
    </r>
  </si>
  <si>
    <t>Auswahl DAV-Sportart bzw. Auswahl "keine Sportart", wenn für Veranstaltungstyp nicht zutreffend</t>
  </si>
  <si>
    <r>
      <t>Anzahl gleicher Aktivitäten</t>
    </r>
    <r>
      <rPr>
        <b/>
        <sz val="10"/>
        <color rgb="FFFF0000"/>
        <rFont val="Tahoma"/>
        <family val="2"/>
      </rPr>
      <t>*</t>
    </r>
  </si>
  <si>
    <t>Häufigkeit der Durchführung  bei mehrfach stattfindenden Treffen, mindestens 1</t>
  </si>
  <si>
    <r>
      <t>Datum der Aktivität - Jahr</t>
    </r>
    <r>
      <rPr>
        <b/>
        <sz val="10"/>
        <color rgb="FFFF0000"/>
        <rFont val="Tahoma"/>
        <family val="2"/>
      </rPr>
      <t>*</t>
    </r>
  </si>
  <si>
    <t>Startdatum der Aktivität, aus Dropdown auswählen</t>
  </si>
  <si>
    <t>Jahr</t>
  </si>
  <si>
    <r>
      <rPr>
        <b/>
        <sz val="10"/>
        <color rgb="FF000000"/>
        <rFont val="Tahoma"/>
        <family val="2"/>
      </rPr>
      <t>Datum der Aktivität - Monat</t>
    </r>
    <r>
      <rPr>
        <b/>
        <sz val="10"/>
        <color rgb="FFFF0000"/>
        <rFont val="Tahoma"/>
        <family val="2"/>
      </rPr>
      <t>*</t>
    </r>
  </si>
  <si>
    <t>Monat</t>
  </si>
  <si>
    <r>
      <t>Datum der Aktivität - Tag</t>
    </r>
    <r>
      <rPr>
        <b/>
        <sz val="10"/>
        <color rgb="FFFF0000"/>
        <rFont val="Tahoma"/>
        <family val="2"/>
      </rPr>
      <t>*</t>
    </r>
  </si>
  <si>
    <t>Startdatum der Aktivität</t>
  </si>
  <si>
    <r>
      <t>Dauer in Tagen</t>
    </r>
    <r>
      <rPr>
        <b/>
        <sz val="10"/>
        <color rgb="FFFF0000"/>
        <rFont val="Tahoma"/>
        <family val="2"/>
      </rPr>
      <t>*</t>
    </r>
  </si>
  <si>
    <t>Dauer der Veranstaltung in 1/4 (z.B. 1-2h=0,25; ca. 3-6h=0,5; 6-24h=1 etc.) Tagen</t>
  </si>
  <si>
    <r>
      <t>Anzahl Teilnehmende</t>
    </r>
    <r>
      <rPr>
        <b/>
        <sz val="10"/>
        <color rgb="FFFF0000"/>
        <rFont val="Tahoma"/>
        <family val="2"/>
      </rPr>
      <t>*</t>
    </r>
  </si>
  <si>
    <t>inkl. Leitungsperson, bei fluktuierender Teilnehmendenzahl den Durchschnittwert pro Veranstaltungsaktivität</t>
  </si>
  <si>
    <t>Personen</t>
  </si>
  <si>
    <r>
      <t>Veranstaltungsort</t>
    </r>
    <r>
      <rPr>
        <b/>
        <sz val="10"/>
        <color theme="5"/>
        <rFont val="Tahoma"/>
        <family val="2"/>
      </rPr>
      <t>*</t>
    </r>
  </si>
  <si>
    <r>
      <t xml:space="preserve">Ort, an dem die Veranstaltungsaktivität stattfand. 
</t>
    </r>
    <r>
      <rPr>
        <sz val="8"/>
        <color theme="1"/>
        <rFont val="Tahoma"/>
        <family val="2"/>
      </rPr>
      <t>Achtung: Die Verwendung eines Apostrophs (') führt zu einer Beschädigung der Daten.</t>
    </r>
  </si>
  <si>
    <t>München</t>
  </si>
  <si>
    <t>Ort/Stadt</t>
  </si>
  <si>
    <r>
      <t>Land</t>
    </r>
    <r>
      <rPr>
        <b/>
        <sz val="10"/>
        <color theme="5"/>
        <rFont val="Tahoma"/>
        <family val="2"/>
      </rPr>
      <t>*</t>
    </r>
  </si>
  <si>
    <t>Land, in dem die Veranstaltungsaktivität stattfand</t>
  </si>
  <si>
    <t>Land</t>
  </si>
  <si>
    <t>Meistbesuchtes Land? Ja=1</t>
  </si>
  <si>
    <t>keine Eingabe erforderlich</t>
  </si>
  <si>
    <t>Diese Zeile ist absichtlich ausgeblendet</t>
  </si>
  <si>
    <r>
      <t>Veranstaltungstyp</t>
    </r>
    <r>
      <rPr>
        <b/>
        <sz val="10"/>
        <color theme="5"/>
        <rFont val="Tahoma"/>
        <family val="2"/>
      </rPr>
      <t>*</t>
    </r>
  </si>
  <si>
    <t>Art der Veranstaltungsaktivität</t>
  </si>
  <si>
    <t>An- und Abreise</t>
  </si>
  <si>
    <t>&lt;-- Für die komplexere (und genauere) Variante bitte aufklappen</t>
  </si>
  <si>
    <t>Fahrzeug mit Verbrennungsmotor (oder Plug-in Hybrid bei Langstrecken &gt;50km)</t>
  </si>
  <si>
    <t>Fz-km</t>
  </si>
  <si>
    <t>Elektroauto (oder Plug-in bei Kurzstrecken &lt;50 km)</t>
  </si>
  <si>
    <t>Transporter, nicht im Besitz der Sektion</t>
  </si>
  <si>
    <t>Sektionsbus oder Fahrzeug, im Besitz der Sektion</t>
  </si>
  <si>
    <t>Anzahl der Personen, die bei jemanden mitfahren ohne Fahrer*in</t>
  </si>
  <si>
    <t xml:space="preserve">Verkehrsteilnehmenden, ohne technisches Verkehrsmittel </t>
  </si>
  <si>
    <t>pkm</t>
  </si>
  <si>
    <t>Öffentlicher Personennahverkehr (z.B. Bus, Tram, U-Bahn)</t>
  </si>
  <si>
    <t>Regionalbahnen oder S-Bahnen</t>
  </si>
  <si>
    <t>Länger Strecken mit Eisenbahn-Zügen</t>
  </si>
  <si>
    <t>Bus mit &gt;8 Sitzplätzen</t>
  </si>
  <si>
    <t>Durchschnittliche Strecke (Hin- &amp; zurück)</t>
  </si>
  <si>
    <t>Gefahrene Route (Hin und zurück) durchschnittlich pro Person, geschätzt durch Veranstalter (z.B. Entfernung Sektionsort / Veranstaltungsort)</t>
  </si>
  <si>
    <t>Prozentsatz der Teilnehmenden (nur Fahrer*in)</t>
  </si>
  <si>
    <t>Prozentsatz der Teilnehmenden</t>
  </si>
  <si>
    <t>Prozentsatz der Teilnehmenden, Bus mit &gt;8 Sitzplätzen</t>
  </si>
  <si>
    <t>Flugreise</t>
  </si>
  <si>
    <t>Hinflug</t>
  </si>
  <si>
    <t xml:space="preserve">Anzahl Personen </t>
  </si>
  <si>
    <t>Anzahl Personen, die geflogen sind</t>
  </si>
  <si>
    <t>Person(en)</t>
  </si>
  <si>
    <t>Startflughafen</t>
  </si>
  <si>
    <t>Flughafencode (IATA) Startflughafen oder Stadt/Land</t>
  </si>
  <si>
    <t>BER</t>
  </si>
  <si>
    <t>Zielflughafen</t>
  </si>
  <si>
    <t>ZRH</t>
  </si>
  <si>
    <t>Kosten Hinflüge Gesamt</t>
  </si>
  <si>
    <t>Gesamtkosten für alle Hinflüge für die Veranstaltungsaktivität</t>
  </si>
  <si>
    <t>Euro</t>
  </si>
  <si>
    <t>Rückflug</t>
  </si>
  <si>
    <t>Kosten Rückflüge Gesamt</t>
  </si>
  <si>
    <t>Gesamtkosten für alle Rückflüge der Veranstaltungsaktivität</t>
  </si>
  <si>
    <t>Mobilität vor Ort</t>
  </si>
  <si>
    <t>Öffentlicher Personennahverkehr</t>
  </si>
  <si>
    <t>Lokales Bahnsystem am Zielort</t>
  </si>
  <si>
    <t>Bus mit &gt;8 Personen</t>
  </si>
  <si>
    <t>Anzahl Fahrten pro Veranstaltung, z.B. 10 Personen fahren 2 Gondelfahrten = 20 Fahrten</t>
  </si>
  <si>
    <t>Fahrten</t>
  </si>
  <si>
    <t>Öffi-Tour Ja/Nein</t>
  </si>
  <si>
    <t>Dieses Feld wird automatisch ausgefüllt. Wenn mehr als 70% der Reise mit öffentlichen Verkehrsmitteln erfolgt, handelt es sich um eine Öffi-Tour</t>
  </si>
  <si>
    <t>Dieses Feld wird automatisch ausgefüllt. Dies ist nur zur Information sichtbar.</t>
  </si>
  <si>
    <t>Übernachtung</t>
  </si>
  <si>
    <t>Gesamtzahl der Übernachtungen, z. B.:
1 Person für eine Nacht = 1 Übernachtungt; 
2 Personen für 3 Nächte = 6 Übernachtungen</t>
  </si>
  <si>
    <t>Biwak/ Zelt</t>
  </si>
  <si>
    <t>Campingplatz</t>
  </si>
  <si>
    <t>Verpflegung</t>
  </si>
  <si>
    <t>Zu erfassen, wenn von Sektion bezahlt bzw. zentral organisiert.</t>
  </si>
  <si>
    <t>Anzahl servierter Mahlzeiten</t>
  </si>
  <si>
    <t>Gesamtzahl Mahlzeiten (Beispiel: 10 Teilnehmende erhalten auf der 1-Tages-Tour ein Mittagessen und Abendessen = 20)</t>
  </si>
  <si>
    <t>Mahlzeiten</t>
  </si>
  <si>
    <t>Prozent vegane Mahlzeiten</t>
  </si>
  <si>
    <t>Nahrung ohne tierische Produkte</t>
  </si>
  <si>
    <t>Prozent vegetarische Mahlzeiten</t>
  </si>
  <si>
    <t>Nahrung ohne Fleisch und Fisch</t>
  </si>
  <si>
    <t>Prozent Mahlzeiten mit Fleisch/Mischkost</t>
  </si>
  <si>
    <t>Nahrung mit Fleisch (bei keiner Angabe wird 100% der Mahlzeiten mit Fleisch angenommen, bitte entsprechend manuell 100% eintragen)</t>
  </si>
  <si>
    <t>Veranstaltungsort</t>
  </si>
  <si>
    <t>DAV Besitz</t>
  </si>
  <si>
    <t>im Besitz des DAV (eigene Sektion, andere DAV-Sektionen oder Bundesverband) oder Nicht im Besitz des DAV</t>
  </si>
  <si>
    <t>Ja</t>
  </si>
  <si>
    <t>Naturraum/im freien ODER Außenanlage (z.B. Außenkletterturm) ODER Kletter-/Boulderhalle ODER Andere (z.B. Tagungsraum, Eventlocation)</t>
  </si>
  <si>
    <t>Naturraum</t>
  </si>
  <si>
    <t>Größe Tagungsraum (m2)</t>
  </si>
  <si>
    <r>
      <t>Größe der genutzten Gebäudefläche (</t>
    </r>
    <r>
      <rPr>
        <u/>
        <sz val="10"/>
        <color theme="1"/>
        <rFont val="Tahoma"/>
        <family val="2"/>
      </rPr>
      <t>nur</t>
    </r>
    <r>
      <rPr>
        <sz val="10"/>
        <color theme="1"/>
        <rFont val="Tahoma"/>
        <family val="2"/>
      </rPr>
      <t xml:space="preserve"> falls in einem Tagungsraum/Hotel)</t>
    </r>
  </si>
  <si>
    <t>m2</t>
  </si>
  <si>
    <t>Materialtransport (eingekaufte Diensleistung, z.B. durch Spedition)</t>
  </si>
  <si>
    <t>Transportmodus</t>
  </si>
  <si>
    <t>Verkehrsmittel, mit dem die Waren transportiert werden</t>
  </si>
  <si>
    <t>Straßenfracht</t>
  </si>
  <si>
    <t>Transportierte Materialien in kg</t>
  </si>
  <si>
    <t>Gewicht der zur Eventlocation gebrachten Materialien</t>
  </si>
  <si>
    <t>Anfahrt Materialien in Kilometer</t>
  </si>
  <si>
    <t>Durchschnittliche Distanz zum Transport der Materialien</t>
  </si>
  <si>
    <t>Kosten</t>
  </si>
  <si>
    <t>Kosten für die Transport-Dienstleistung (falls keine anderen Daten verfügbar, Transportmodus benötigt)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</si>
</sst>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€&quot;;\-#,##0\ &quot;€&quot;"/>
    <numFmt numFmtId="164" formatCode="#,##0.0"/>
    <numFmt numFmtId="165" formatCode="dd\.mm\.yyyy\ hh:mm:ss"/>
    <numFmt numFmtId="166" formatCode="[$-407]ddd"/>
    <numFmt numFmtId="167" formatCode="[$-407]dd"/>
    <numFmt numFmtId="168" formatCode="ddd\,\ d/mmm/yy"/>
    <numFmt numFmtId="169" formatCode="0.0"/>
    <numFmt numFmtId="170" formatCode="d/m/yy\ h:mm:ss;@"/>
    <numFmt numFmtId="171" formatCode="#,##0\ &quot;€&quot;"/>
    <numFmt numFmtId="172" formatCode="#,##0.00\ &quot;€&quot;"/>
    <numFmt numFmtId="173" formatCode="[$-407]d/\ mmm/;@"/>
  </numFmts>
  <fonts count="69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b/>
      <sz val="10"/>
      <color rgb="FF0000FF"/>
      <name val="Arial"/>
      <family val="2"/>
    </font>
    <font>
      <b/>
      <sz val="10"/>
      <color rgb="FF000000"/>
      <name val="Arial"/>
      <family val="2"/>
    </font>
    <font>
      <sz val="9"/>
      <color indexed="81"/>
      <name val="Segoe UI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b/>
      <sz val="9"/>
      <color indexed="81"/>
      <name val="Segoe UI"/>
      <family val="2"/>
    </font>
    <font>
      <sz val="8"/>
      <color rgb="FF0000FF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000000"/>
      <name val="Arial"/>
      <family val="2"/>
    </font>
    <font>
      <u/>
      <sz val="10"/>
      <color theme="10"/>
      <name val="Arial"/>
      <family val="2"/>
    </font>
    <font>
      <sz val="7"/>
      <color rgb="FF00000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2"/>
      <color rgb="FF0000FF"/>
      <name val="Arial"/>
      <family val="2"/>
    </font>
    <font>
      <b/>
      <sz val="8"/>
      <color rgb="FF0000FF"/>
      <name val="Arial"/>
      <family val="2"/>
    </font>
    <font>
      <b/>
      <sz val="18"/>
      <color rgb="FF0000FF"/>
      <name val="Arial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sz val="10"/>
      <color rgb="FFFF0000"/>
      <name val="Tahoma"/>
      <family val="2"/>
    </font>
    <font>
      <sz val="10"/>
      <name val="Tahoma"/>
      <family val="2"/>
    </font>
    <font>
      <b/>
      <sz val="10"/>
      <color rgb="FF09044A"/>
      <name val="Tahoma"/>
      <family val="2"/>
    </font>
    <font>
      <i/>
      <sz val="10"/>
      <color theme="1"/>
      <name val="Tahoma"/>
      <family val="2"/>
    </font>
    <font>
      <b/>
      <i/>
      <sz val="10"/>
      <color theme="1"/>
      <name val="Tahoma"/>
      <family val="2"/>
    </font>
    <font>
      <b/>
      <i/>
      <sz val="10"/>
      <name val="Tahoma"/>
      <family val="2"/>
    </font>
    <font>
      <sz val="10"/>
      <color rgb="FF09044A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C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b/>
      <sz val="10"/>
      <color theme="5"/>
      <name val="Tahoma"/>
      <family val="2"/>
    </font>
    <font>
      <sz val="10"/>
      <color theme="3"/>
      <name val="Tahoma"/>
      <family val="2"/>
    </font>
    <font>
      <b/>
      <sz val="10"/>
      <color rgb="FF000000"/>
      <name val="Tahoma"/>
      <family val="2"/>
    </font>
    <font>
      <sz val="10"/>
      <color rgb="FFFF0000"/>
      <name val="Tahoma"/>
      <family val="2"/>
    </font>
    <font>
      <sz val="8"/>
      <color theme="1"/>
      <name val="Tahoma"/>
      <family val="2"/>
    </font>
    <font>
      <sz val="9"/>
      <color theme="0"/>
      <name val="Tahoma"/>
      <family val="2"/>
    </font>
    <font>
      <u/>
      <sz val="10"/>
      <color theme="1"/>
      <name val="Tahoma"/>
      <family val="2"/>
    </font>
    <font>
      <i/>
      <sz val="10"/>
      <name val="Tahoma"/>
      <family val="2"/>
    </font>
    <font>
      <sz val="10"/>
      <color rgb="FF0000FF"/>
      <name val="Tahom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theme="1" tint="0.499984740745262"/>
      <name val="Tahoma"/>
      <family val="2"/>
    </font>
    <font>
      <b/>
      <i/>
      <sz val="9"/>
      <color theme="0" tint="-0.499984740745262"/>
      <name val="Arial"/>
      <family val="2"/>
    </font>
    <font>
      <b/>
      <sz val="9"/>
      <name val="Arial"/>
      <family val="2"/>
    </font>
    <font>
      <b/>
      <i/>
      <sz val="13"/>
      <name val="Arial"/>
      <family val="2"/>
    </font>
    <font>
      <sz val="9"/>
      <color rgb="FF0000FF"/>
      <name val="Arial"/>
      <family val="2"/>
    </font>
    <font>
      <b/>
      <sz val="10"/>
      <color theme="1" tint="0.499984740745262"/>
      <name val="Tahoma"/>
      <family val="2"/>
    </font>
    <font>
      <sz val="10"/>
      <color theme="0"/>
      <name val="Arial"/>
      <family val="2"/>
    </font>
    <font>
      <sz val="10"/>
      <color theme="0" tint="-0.249977111117893"/>
      <name val="Calibri"/>
      <family val="2"/>
      <scheme val="minor"/>
    </font>
    <font>
      <i/>
      <sz val="9"/>
      <name val="Arial"/>
      <family val="2"/>
    </font>
    <font>
      <b/>
      <sz val="13"/>
      <color rgb="FF0000FF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sz val="6"/>
      <color rgb="FF000000"/>
      <name val="Arial"/>
      <family val="2"/>
    </font>
    <font>
      <b/>
      <sz val="9"/>
      <color rgb="FF0000FF"/>
      <name val="Arial"/>
      <family val="2"/>
    </font>
    <font>
      <sz val="7"/>
      <name val="Arial"/>
      <family val="2"/>
    </font>
    <font>
      <b/>
      <sz val="11"/>
      <color rgb="FF0000FF"/>
      <name val="Arial"/>
      <family val="2"/>
    </font>
    <font>
      <sz val="11"/>
      <color rgb="FF00000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CCFFCC"/>
        <bgColor rgb="FFCCFFCC"/>
      </patternFill>
    </fill>
    <fill>
      <patternFill patternType="solid">
        <fgColor rgb="FFFF0000"/>
        <bgColor rgb="FFFF0000"/>
      </patternFill>
    </fill>
    <fill>
      <patternFill patternType="solid">
        <fgColor theme="8" tint="0.79998168889431442"/>
        <bgColor rgb="FFD9D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92D05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indexed="64"/>
      </patternFill>
    </fill>
    <fill>
      <patternFill patternType="solid">
        <fgColor rgb="FF5AB03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rgb="FFDDDDDD"/>
      </patternFill>
    </fill>
    <fill>
      <patternFill patternType="solid">
        <fgColor rgb="FF1F4DA0"/>
        <bgColor rgb="FF5AB031"/>
      </patternFill>
    </fill>
    <fill>
      <patternFill patternType="solid">
        <fgColor theme="2" tint="-4.9989318521683403E-2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3F3F3"/>
      </patternFill>
    </fill>
    <fill>
      <patternFill patternType="solid">
        <fgColor theme="0" tint="-0.499984740745262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1F4DA0"/>
        <bgColor rgb="FF5AAA28"/>
      </patternFill>
    </fill>
    <fill>
      <patternFill patternType="solid">
        <fgColor theme="6" tint="0.79998168889431442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94506668294322"/>
        <bgColor rgb="FFDDDDDD"/>
      </patternFill>
    </fill>
    <fill>
      <patternFill patternType="solid">
        <fgColor theme="8" tint="0.39994506668294322"/>
        <bgColor rgb="FFD9D9D9"/>
      </patternFill>
    </fill>
    <fill>
      <patternFill patternType="solid">
        <fgColor theme="0" tint="-0.14996795556505021"/>
        <bgColor rgb="FFDDDDDD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rgb="FFFF0000"/>
      </patternFill>
    </fill>
    <fill>
      <patternFill patternType="solid">
        <fgColor rgb="FF92D05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CCFF"/>
        <bgColor rgb="FFDDDDDD"/>
      </patternFill>
    </fill>
  </fills>
  <borders count="262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dashed">
        <color auto="1"/>
      </right>
      <top/>
      <bottom/>
      <diagonal/>
    </border>
    <border>
      <left style="hair">
        <color auto="1"/>
      </left>
      <right style="dashed">
        <color auto="1"/>
      </right>
      <top/>
      <bottom/>
      <diagonal/>
    </border>
    <border>
      <left style="hair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dashed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ashed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ashed">
        <color auto="1"/>
      </bottom>
      <diagonal/>
    </border>
    <border>
      <left style="hair">
        <color auto="1"/>
      </left>
      <right/>
      <top style="hair">
        <color auto="1"/>
      </top>
      <bottom style="dashed">
        <color auto="1"/>
      </bottom>
      <diagonal/>
    </border>
    <border>
      <left style="hair">
        <color auto="1"/>
      </left>
      <right style="dashed">
        <color auto="1"/>
      </right>
      <top style="hair">
        <color auto="1"/>
      </top>
      <bottom style="dashed">
        <color auto="1"/>
      </bottom>
      <diagonal/>
    </border>
    <border>
      <left/>
      <right style="hair">
        <color auto="1"/>
      </right>
      <top style="hair">
        <color auto="1"/>
      </top>
      <bottom style="dashed">
        <color auto="1"/>
      </bottom>
      <diagonal/>
    </border>
    <border>
      <left/>
      <right/>
      <top style="hair">
        <color auto="1"/>
      </top>
      <bottom style="dashed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DDDDDD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D9D9D9"/>
      </bottom>
      <diagonal/>
    </border>
    <border>
      <left/>
      <right/>
      <top style="thin">
        <color rgb="FF000000"/>
      </top>
      <bottom style="thin">
        <color rgb="FFDDDDDD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DDDDDD"/>
      </top>
      <bottom/>
      <diagonal/>
    </border>
    <border>
      <left style="dashed">
        <color auto="1"/>
      </left>
      <right style="hair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ashed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dotted">
        <color auto="1"/>
      </right>
      <top style="hair">
        <color auto="1"/>
      </top>
      <bottom/>
      <diagonal/>
    </border>
    <border>
      <left/>
      <right style="dotted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rgb="FFDDDDDD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2" tint="-0.14996795556505021"/>
      </left>
      <right style="thin">
        <color theme="2" tint="-0.14993743705557422"/>
      </right>
      <top/>
      <bottom/>
      <diagonal/>
    </border>
    <border>
      <left style="thin">
        <color theme="2" tint="-0.14996795556505021"/>
      </left>
      <right style="thin">
        <color theme="0" tint="-0.14999847407452621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theme="0" tint="-0.14999847407452621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theme="0" tint="-0.14999847407452621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DDDDDD"/>
      </bottom>
      <diagonal/>
    </border>
    <border>
      <left/>
      <right/>
      <top style="thin">
        <color theme="2" tint="-0.14996795556505021"/>
      </top>
      <bottom style="thin">
        <color theme="2" tint="-0.14996795556505021"/>
      </bottom>
      <diagonal/>
    </border>
    <border>
      <left style="thin">
        <color indexed="64"/>
      </left>
      <right/>
      <top style="thin">
        <color theme="2" tint="-0.14996795556505021"/>
      </top>
      <bottom style="thin">
        <color theme="2" tint="-0.14996795556505021"/>
      </bottom>
      <diagonal/>
    </border>
    <border>
      <left/>
      <right style="thin">
        <color theme="0" tint="-0.14999847407452621"/>
      </right>
      <top style="thin">
        <color theme="2" tint="-0.14996795556505021"/>
      </top>
      <bottom style="thin">
        <color theme="2" tint="-0.149967955565050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rgb="FFDDDDDD"/>
      </bottom>
      <diagonal/>
    </border>
    <border>
      <left/>
      <right style="thin">
        <color theme="0" tint="-0.14999847407452621"/>
      </right>
      <top style="thin">
        <color rgb="FFDDDDDD"/>
      </top>
      <bottom style="thin">
        <color rgb="FFDDDDDD"/>
      </bottom>
      <diagonal/>
    </border>
    <border>
      <left style="thin">
        <color indexed="64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theme="0" tint="-0.14999847407452621"/>
      </right>
      <top style="thin">
        <color rgb="FFDDDDDD"/>
      </top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0" tint="-0.14999847407452621"/>
      </right>
      <top style="thin">
        <color theme="2" tint="-0.249977111117893"/>
      </top>
      <bottom/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DDDDDD"/>
      </top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rgb="FFD9D9D9"/>
      </top>
      <bottom style="thin">
        <color rgb="FF000000"/>
      </bottom>
      <diagonal/>
    </border>
    <border>
      <left/>
      <right style="thin">
        <color indexed="64"/>
      </right>
      <top style="thin">
        <color rgb="FFDDDDDD"/>
      </top>
      <bottom style="thin">
        <color indexed="64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theme="0" tint="-0.14999847407452621"/>
      </right>
      <top/>
      <bottom style="thin">
        <color theme="2" tint="-0.249977111117893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theme="0" tint="-0.14999847407452621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0" tint="-0.14999847407452621"/>
      </right>
      <top/>
      <bottom style="thin">
        <color theme="1"/>
      </bottom>
      <diagonal/>
    </border>
    <border>
      <left/>
      <right style="thin">
        <color theme="0" tint="-0.14999847407452621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theme="2" tint="-0.14996795556505021"/>
      </bottom>
      <diagonal/>
    </border>
    <border>
      <left style="thin">
        <color indexed="64"/>
      </left>
      <right/>
      <top style="thin">
        <color rgb="FFDDDDDD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rgb="FF000000"/>
      </top>
      <bottom style="thin">
        <color indexed="64"/>
      </bottom>
      <diagonal/>
    </border>
    <border>
      <left/>
      <right style="thin">
        <color theme="2" tint="-0.14996795556505021"/>
      </right>
      <top/>
      <bottom/>
      <diagonal/>
    </border>
    <border>
      <left/>
      <right style="thin">
        <color theme="2" tint="-0.14993743705557422"/>
      </right>
      <top style="thin">
        <color rgb="FF000000"/>
      </top>
      <bottom style="thin">
        <color rgb="FFDDDDDD"/>
      </bottom>
      <diagonal/>
    </border>
    <border>
      <left/>
      <right/>
      <top style="thin">
        <color rgb="FF000000"/>
      </top>
      <bottom style="thin">
        <color theme="1"/>
      </bottom>
      <diagonal/>
    </border>
    <border>
      <left style="thin">
        <color indexed="64"/>
      </left>
      <right/>
      <top style="thin">
        <color rgb="FF000000"/>
      </top>
      <bottom style="thin">
        <color rgb="FFDDDDDD"/>
      </bottom>
      <diagonal/>
    </border>
    <border>
      <left/>
      <right style="thin">
        <color theme="0" tint="-0.14999847407452621"/>
      </right>
      <top style="thin">
        <color rgb="FF000000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000000"/>
      </bottom>
      <diagonal/>
    </border>
    <border>
      <left style="thin">
        <color indexed="64"/>
      </left>
      <right/>
      <top style="thin">
        <color rgb="FFDDDDDD"/>
      </top>
      <bottom style="thin">
        <color rgb="FF000000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rgb="FF000000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rgb="FFDDDDDD"/>
      </bottom>
      <diagonal/>
    </border>
    <border>
      <left style="thin">
        <color indexed="64"/>
      </left>
      <right/>
      <top style="thin">
        <color rgb="FFDDDDDD"/>
      </top>
      <bottom style="thin">
        <color theme="2" tint="-0.249977111117893"/>
      </bottom>
      <diagonal/>
    </border>
    <border>
      <left/>
      <right/>
      <top/>
      <bottom style="thick">
        <color theme="1"/>
      </bottom>
      <diagonal/>
    </border>
    <border>
      <left style="thin">
        <color indexed="64"/>
      </left>
      <right style="thin">
        <color theme="2" tint="-0.14996795556505021"/>
      </right>
      <top/>
      <bottom/>
      <diagonal/>
    </border>
    <border>
      <left style="thin">
        <color theme="2" tint="-0.14993743705557422"/>
      </left>
      <right style="thin">
        <color theme="2" tint="-0.14993743705557422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ashed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/>
      <diagonal/>
    </border>
    <border>
      <left style="dotted">
        <color auto="1"/>
      </left>
      <right style="hair">
        <color auto="1"/>
      </right>
      <top style="hair">
        <color auto="1"/>
      </top>
      <bottom style="dashed">
        <color auto="1"/>
      </bottom>
      <diagonal/>
    </border>
    <border>
      <left style="dotted">
        <color auto="1"/>
      </left>
      <right style="hair">
        <color auto="1"/>
      </right>
      <top/>
      <bottom style="hair">
        <color auto="1"/>
      </bottom>
      <diagonal/>
    </border>
    <border>
      <left/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/>
      <diagonal/>
    </border>
    <border>
      <left style="hair">
        <color auto="1"/>
      </left>
      <right style="dotted">
        <color auto="1"/>
      </right>
      <top style="hair">
        <color auto="1"/>
      </top>
      <bottom style="dashed">
        <color auto="1"/>
      </bottom>
      <diagonal/>
    </border>
    <border>
      <left style="hair">
        <color auto="1"/>
      </left>
      <right style="dotted">
        <color auto="1"/>
      </right>
      <top/>
      <bottom style="hair">
        <color auto="1"/>
      </bottom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hair">
        <color auto="1"/>
      </left>
      <right style="dotted">
        <color auto="1"/>
      </right>
      <top/>
      <bottom/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dashed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dashed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0" fontId="4" fillId="0" borderId="0"/>
    <xf numFmtId="0" fontId="18" fillId="0" borderId="0" applyNumberFormat="0" applyFill="0" applyBorder="0" applyAlignment="0" applyProtection="0"/>
  </cellStyleXfs>
  <cellXfs count="1286">
    <xf numFmtId="0" fontId="0" fillId="0" borderId="0" xfId="0" applyAlignment="1">
      <alignment wrapText="1"/>
    </xf>
    <xf numFmtId="0" fontId="2" fillId="10" borderId="5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6" borderId="2" xfId="0" applyFont="1" applyFill="1" applyBorder="1" applyAlignment="1" applyProtection="1">
      <alignment horizontal="left" vertical="center"/>
      <protection locked="0"/>
    </xf>
    <xf numFmtId="0" fontId="3" fillId="6" borderId="2" xfId="0" applyFont="1" applyFill="1" applyBorder="1" applyAlignment="1" applyProtection="1">
      <alignment vertical="center"/>
      <protection locked="0"/>
    </xf>
    <xf numFmtId="0" fontId="3" fillId="6" borderId="3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1" fillId="5" borderId="27" xfId="0" applyFont="1" applyFill="1" applyBorder="1" applyAlignment="1" applyProtection="1">
      <alignment horizontal="left" vertical="center"/>
      <protection locked="0"/>
    </xf>
    <xf numFmtId="0" fontId="3" fillId="5" borderId="28" xfId="0" applyFont="1" applyFill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3" fillId="5" borderId="2" xfId="0" applyFont="1" applyFill="1" applyBorder="1" applyAlignment="1" applyProtection="1">
      <alignment vertical="center"/>
      <protection locked="0"/>
    </xf>
    <xf numFmtId="0" fontId="4" fillId="6" borderId="27" xfId="0" applyFont="1" applyFill="1" applyBorder="1" applyAlignment="1" applyProtection="1">
      <alignment vertical="center" wrapText="1"/>
      <protection locked="0"/>
    </xf>
    <xf numFmtId="0" fontId="3" fillId="5" borderId="3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5" borderId="27" xfId="0" applyFont="1" applyFill="1" applyBorder="1" applyAlignment="1" applyProtection="1">
      <alignment vertical="center"/>
      <protection locked="0"/>
    </xf>
    <xf numFmtId="0" fontId="3" fillId="6" borderId="2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3" fillId="5" borderId="27" xfId="0" applyFont="1" applyFill="1" applyBorder="1" applyAlignment="1" applyProtection="1">
      <alignment horizontal="left" vertical="center"/>
      <protection locked="0"/>
    </xf>
    <xf numFmtId="0" fontId="3" fillId="5" borderId="31" xfId="0" applyFont="1" applyFill="1" applyBorder="1" applyAlignment="1" applyProtection="1">
      <alignment horizontal="left" vertical="center" wrapText="1"/>
      <protection locked="0"/>
    </xf>
    <xf numFmtId="0" fontId="3" fillId="5" borderId="28" xfId="0" applyFont="1" applyFill="1" applyBorder="1" applyAlignment="1" applyProtection="1">
      <alignment horizontal="right" vertical="center" wrapText="1"/>
      <protection locked="0"/>
    </xf>
    <xf numFmtId="0" fontId="1" fillId="5" borderId="28" xfId="0" applyFont="1" applyFill="1" applyBorder="1" applyAlignment="1" applyProtection="1">
      <alignment horizontal="right" vertical="center" wrapText="1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right" vertical="center" wrapText="1"/>
      <protection locked="0"/>
    </xf>
    <xf numFmtId="0" fontId="3" fillId="5" borderId="3" xfId="0" applyFont="1" applyFill="1" applyBorder="1" applyAlignment="1" applyProtection="1">
      <alignment horizontal="right" vertical="center" wrapText="1"/>
      <protection locked="0"/>
    </xf>
    <xf numFmtId="0" fontId="6" fillId="6" borderId="27" xfId="0" applyFont="1" applyFill="1" applyBorder="1" applyAlignment="1" applyProtection="1">
      <alignment horizontal="left" vertical="center"/>
      <protection locked="0"/>
    </xf>
    <xf numFmtId="0" fontId="6" fillId="6" borderId="31" xfId="0" applyFont="1" applyFill="1" applyBorder="1" applyAlignment="1" applyProtection="1">
      <alignment horizontal="left" vertical="center" wrapText="1"/>
      <protection locked="0"/>
    </xf>
    <xf numFmtId="0" fontId="3" fillId="6" borderId="28" xfId="0" applyFont="1" applyFill="1" applyBorder="1" applyAlignment="1" applyProtection="1">
      <alignment horizontal="right" vertical="center" wrapText="1"/>
      <protection locked="0"/>
    </xf>
    <xf numFmtId="0" fontId="3" fillId="5" borderId="2" xfId="0" applyFont="1" applyFill="1" applyBorder="1" applyAlignment="1" applyProtection="1">
      <alignment horizontal="left" vertical="center"/>
      <protection locked="0"/>
    </xf>
    <xf numFmtId="0" fontId="3" fillId="5" borderId="14" xfId="0" applyFont="1" applyFill="1" applyBorder="1" applyAlignment="1" applyProtection="1">
      <alignment horizontal="left" vertical="center" wrapText="1"/>
      <protection locked="0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1" fontId="1" fillId="6" borderId="19" xfId="0" applyNumberFormat="1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1" fontId="1" fillId="0" borderId="19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1" fontId="1" fillId="5" borderId="27" xfId="0" applyNumberFormat="1" applyFont="1" applyFill="1" applyBorder="1" applyAlignment="1" applyProtection="1">
      <alignment horizontal="center" vertical="center"/>
      <protection locked="0"/>
    </xf>
    <xf numFmtId="1" fontId="1" fillId="5" borderId="29" xfId="0" applyNumberFormat="1" applyFont="1" applyFill="1" applyBorder="1" applyAlignment="1" applyProtection="1">
      <alignment horizontal="center" vertical="center"/>
      <protection locked="0"/>
    </xf>
    <xf numFmtId="0" fontId="1" fillId="5" borderId="30" xfId="0" applyFont="1" applyFill="1" applyBorder="1" applyAlignment="1" applyProtection="1">
      <alignment horizontal="center" vertical="center" wrapText="1"/>
      <protection locked="0"/>
    </xf>
    <xf numFmtId="0" fontId="1" fillId="5" borderId="27" xfId="0" applyFont="1" applyFill="1" applyBorder="1" applyAlignment="1" applyProtection="1">
      <alignment horizontal="center" vertical="center" wrapText="1"/>
      <protection locked="0"/>
    </xf>
    <xf numFmtId="1" fontId="1" fillId="0" borderId="22" xfId="0" applyNumberFormat="1" applyFont="1" applyBorder="1" applyAlignment="1" applyProtection="1">
      <alignment horizontal="center" vertical="center"/>
      <protection locked="0"/>
    </xf>
    <xf numFmtId="1" fontId="1" fillId="0" borderId="24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/>
      <protection locked="0"/>
    </xf>
    <xf numFmtId="1" fontId="1" fillId="5" borderId="19" xfId="0" applyNumberFormat="1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1" fontId="1" fillId="6" borderId="27" xfId="0" applyNumberFormat="1" applyFont="1" applyFill="1" applyBorder="1" applyAlignment="1" applyProtection="1">
      <alignment horizontal="center" vertical="center"/>
      <protection locked="0"/>
    </xf>
    <xf numFmtId="1" fontId="1" fillId="6" borderId="29" xfId="0" applyNumberFormat="1" applyFont="1" applyFill="1" applyBorder="1" applyAlignment="1" applyProtection="1">
      <alignment horizontal="center" vertical="center"/>
      <protection locked="0"/>
    </xf>
    <xf numFmtId="0" fontId="1" fillId="6" borderId="30" xfId="0" applyFont="1" applyFill="1" applyBorder="1" applyAlignment="1" applyProtection="1">
      <alignment horizontal="center" vertical="center" wrapText="1"/>
      <protection locked="0"/>
    </xf>
    <xf numFmtId="0" fontId="1" fillId="6" borderId="27" xfId="0" applyFont="1" applyFill="1" applyBorder="1" applyAlignment="1" applyProtection="1">
      <alignment horizontal="center" vertical="center" wrapText="1"/>
      <protection locked="0"/>
    </xf>
    <xf numFmtId="0" fontId="25" fillId="0" borderId="93" xfId="0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6" fillId="0" borderId="96" xfId="0" applyFont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3" fillId="0" borderId="97" xfId="0" applyFont="1" applyBorder="1" applyAlignment="1">
      <alignment horizontal="center" vertical="center"/>
    </xf>
    <xf numFmtId="0" fontId="33" fillId="0" borderId="93" xfId="0" applyFont="1" applyBorder="1" applyAlignment="1">
      <alignment horizontal="center" vertical="center"/>
    </xf>
    <xf numFmtId="0" fontId="34" fillId="2" borderId="98" xfId="0" applyFont="1" applyFill="1" applyBorder="1" applyAlignment="1">
      <alignment horizontal="center" vertical="center"/>
    </xf>
    <xf numFmtId="0" fontId="35" fillId="2" borderId="99" xfId="0" applyFont="1" applyFill="1" applyBorder="1" applyAlignment="1">
      <alignment horizontal="center" vertical="center" wrapText="1"/>
    </xf>
    <xf numFmtId="0" fontId="36" fillId="2" borderId="100" xfId="0" applyFont="1" applyFill="1" applyBorder="1" applyAlignment="1">
      <alignment horizontal="center" vertical="center"/>
    </xf>
    <xf numFmtId="0" fontId="37" fillId="21" borderId="101" xfId="0" applyFont="1" applyFill="1" applyBorder="1"/>
    <xf numFmtId="0" fontId="37" fillId="21" borderId="101" xfId="0" applyFont="1" applyFill="1" applyBorder="1" applyAlignment="1">
      <alignment horizontal="center" vertical="center"/>
    </xf>
    <xf numFmtId="0" fontId="35" fillId="21" borderId="102" xfId="0" applyFont="1" applyFill="1" applyBorder="1" applyAlignment="1">
      <alignment horizontal="center" vertical="center" wrapText="1"/>
    </xf>
    <xf numFmtId="0" fontId="38" fillId="21" borderId="103" xfId="0" applyFont="1" applyFill="1" applyBorder="1" applyAlignment="1">
      <alignment horizontal="center" vertical="center"/>
    </xf>
    <xf numFmtId="0" fontId="34" fillId="0" borderId="0" xfId="0" applyFont="1" applyAlignment="1">
      <alignment vertical="center" textRotation="90"/>
    </xf>
    <xf numFmtId="0" fontId="34" fillId="0" borderId="34" xfId="0" applyFont="1" applyBorder="1" applyAlignment="1">
      <alignment vertical="top"/>
    </xf>
    <xf numFmtId="0" fontId="25" fillId="0" borderId="34" xfId="0" applyFont="1" applyBorder="1" applyAlignment="1">
      <alignment vertical="top"/>
    </xf>
    <xf numFmtId="0" fontId="25" fillId="13" borderId="34" xfId="0" applyFont="1" applyFill="1" applyBorder="1" applyAlignment="1">
      <alignment horizontal="center" vertical="center"/>
    </xf>
    <xf numFmtId="0" fontId="28" fillId="13" borderId="104" xfId="0" applyFont="1" applyFill="1" applyBorder="1" applyAlignment="1" applyProtection="1">
      <alignment horizontal="center" vertical="center" wrapText="1"/>
      <protection locked="0"/>
    </xf>
    <xf numFmtId="0" fontId="25" fillId="0" borderId="92" xfId="0" applyFont="1" applyBorder="1" applyAlignment="1">
      <alignment horizontal="center" vertical="center"/>
    </xf>
    <xf numFmtId="0" fontId="25" fillId="0" borderId="0" xfId="0" applyFont="1"/>
    <xf numFmtId="0" fontId="34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5" fillId="13" borderId="0" xfId="0" applyFont="1" applyFill="1" applyAlignment="1">
      <alignment horizontal="center" vertical="center"/>
    </xf>
    <xf numFmtId="0" fontId="28" fillId="13" borderId="6" xfId="0" applyFont="1" applyFill="1" applyBorder="1" applyAlignment="1" applyProtection="1">
      <alignment horizontal="center" vertical="center" wrapText="1"/>
      <protection locked="0"/>
    </xf>
    <xf numFmtId="0" fontId="25" fillId="0" borderId="105" xfId="0" applyFont="1" applyBorder="1"/>
    <xf numFmtId="0" fontId="35" fillId="0" borderId="105" xfId="0" applyFont="1" applyBorder="1" applyAlignment="1">
      <alignment vertical="top"/>
    </xf>
    <xf numFmtId="0" fontId="28" fillId="0" borderId="105" xfId="0" applyFont="1" applyBorder="1" applyAlignment="1">
      <alignment vertical="top" wrapText="1"/>
    </xf>
    <xf numFmtId="0" fontId="28" fillId="13" borderId="105" xfId="0" applyFont="1" applyFill="1" applyBorder="1" applyAlignment="1">
      <alignment horizontal="center" vertical="center"/>
    </xf>
    <xf numFmtId="0" fontId="28" fillId="22" borderId="106" xfId="0" applyFont="1" applyFill="1" applyBorder="1" applyAlignment="1" applyProtection="1">
      <alignment horizontal="center" vertical="center" wrapText="1"/>
      <protection locked="0"/>
    </xf>
    <xf numFmtId="0" fontId="28" fillId="22" borderId="104" xfId="0" applyFont="1" applyFill="1" applyBorder="1" applyAlignment="1" applyProtection="1">
      <alignment horizontal="center" vertical="center" wrapText="1"/>
      <protection locked="0"/>
    </xf>
    <xf numFmtId="0" fontId="40" fillId="0" borderId="34" xfId="0" applyFont="1" applyBorder="1" applyAlignment="1">
      <alignment vertical="top"/>
    </xf>
    <xf numFmtId="1" fontId="25" fillId="23" borderId="92" xfId="0" applyNumberFormat="1" applyFont="1" applyFill="1" applyBorder="1" applyAlignment="1">
      <alignment horizontal="center" vertical="center"/>
    </xf>
    <xf numFmtId="0" fontId="35" fillId="0" borderId="35" xfId="0" applyFont="1" applyBorder="1" applyAlignment="1">
      <alignment vertical="top"/>
    </xf>
    <xf numFmtId="0" fontId="28" fillId="0" borderId="35" xfId="0" applyFont="1" applyBorder="1" applyAlignment="1">
      <alignment vertical="top" wrapText="1"/>
    </xf>
    <xf numFmtId="2" fontId="25" fillId="13" borderId="36" xfId="0" applyNumberFormat="1" applyFont="1" applyFill="1" applyBorder="1" applyAlignment="1">
      <alignment horizontal="center" vertical="center"/>
    </xf>
    <xf numFmtId="0" fontId="25" fillId="13" borderId="36" xfId="0" applyFont="1" applyFill="1" applyBorder="1" applyAlignment="1">
      <alignment horizontal="center" vertical="center"/>
    </xf>
    <xf numFmtId="0" fontId="28" fillId="13" borderId="108" xfId="0" applyFont="1" applyFill="1" applyBorder="1" applyAlignment="1" applyProtection="1">
      <alignment horizontal="center" vertical="center" wrapText="1"/>
      <protection locked="0"/>
    </xf>
    <xf numFmtId="2" fontId="25" fillId="0" borderId="109" xfId="0" applyNumberFormat="1" applyFont="1" applyBorder="1" applyAlignment="1">
      <alignment horizontal="center" vertical="center"/>
    </xf>
    <xf numFmtId="0" fontId="42" fillId="13" borderId="110" xfId="0" applyFont="1" applyFill="1" applyBorder="1" applyAlignment="1" applyProtection="1">
      <alignment horizontal="center" vertical="center"/>
      <protection locked="0"/>
    </xf>
    <xf numFmtId="0" fontId="25" fillId="0" borderId="109" xfId="0" applyFont="1" applyBorder="1" applyAlignment="1">
      <alignment horizontal="center" vertical="center"/>
    </xf>
    <xf numFmtId="0" fontId="25" fillId="0" borderId="34" xfId="0" applyFont="1" applyBorder="1" applyAlignment="1">
      <alignment vertical="top" wrapText="1"/>
    </xf>
    <xf numFmtId="0" fontId="28" fillId="24" borderId="110" xfId="0" applyFont="1" applyFill="1" applyBorder="1" applyAlignment="1" applyProtection="1">
      <alignment horizontal="center" vertical="center" wrapText="1"/>
      <protection locked="0"/>
    </xf>
    <xf numFmtId="49" fontId="25" fillId="0" borderId="109" xfId="0" applyNumberFormat="1" applyFont="1" applyBorder="1" applyAlignment="1">
      <alignment horizontal="center" vertical="center"/>
    </xf>
    <xf numFmtId="0" fontId="28" fillId="25" borderId="104" xfId="0" applyFont="1" applyFill="1" applyBorder="1" applyAlignment="1" applyProtection="1">
      <alignment horizontal="center" vertical="center" wrapText="1"/>
      <protection locked="0"/>
    </xf>
    <xf numFmtId="0" fontId="25" fillId="26" borderId="93" xfId="0" applyFont="1" applyFill="1" applyBorder="1" applyAlignment="1">
      <alignment horizontal="center" vertical="center"/>
    </xf>
    <xf numFmtId="0" fontId="25" fillId="27" borderId="46" xfId="0" applyFont="1" applyFill="1" applyBorder="1" applyAlignment="1">
      <alignment horizontal="center" vertical="center"/>
    </xf>
    <xf numFmtId="0" fontId="37" fillId="21" borderId="112" xfId="0" applyFont="1" applyFill="1" applyBorder="1"/>
    <xf numFmtId="0" fontId="37" fillId="28" borderId="112" xfId="0" applyFont="1" applyFill="1" applyBorder="1" applyAlignment="1">
      <alignment vertical="top"/>
    </xf>
    <xf numFmtId="0" fontId="38" fillId="28" borderId="112" xfId="0" applyFont="1" applyFill="1" applyBorder="1" applyAlignment="1">
      <alignment vertical="top" wrapText="1"/>
    </xf>
    <xf numFmtId="0" fontId="38" fillId="28" borderId="112" xfId="0" applyFont="1" applyFill="1" applyBorder="1" applyAlignment="1">
      <alignment horizontal="center" vertical="center"/>
    </xf>
    <xf numFmtId="0" fontId="28" fillId="28" borderId="113" xfId="0" applyFont="1" applyFill="1" applyBorder="1" applyAlignment="1">
      <alignment horizontal="center" vertical="center"/>
    </xf>
    <xf numFmtId="0" fontId="38" fillId="28" borderId="114" xfId="0" applyFont="1" applyFill="1" applyBorder="1" applyAlignment="1">
      <alignment horizontal="center" vertical="center"/>
    </xf>
    <xf numFmtId="0" fontId="26" fillId="17" borderId="33" xfId="0" applyFont="1" applyFill="1" applyBorder="1"/>
    <xf numFmtId="0" fontId="34" fillId="29" borderId="33" xfId="0" applyFont="1" applyFill="1" applyBorder="1"/>
    <xf numFmtId="0" fontId="28" fillId="17" borderId="33" xfId="0" applyFont="1" applyFill="1" applyBorder="1" applyAlignment="1">
      <alignment wrapText="1"/>
    </xf>
    <xf numFmtId="0" fontId="25" fillId="27" borderId="33" xfId="0" applyFont="1" applyFill="1" applyBorder="1" applyAlignment="1">
      <alignment horizontal="center" vertical="center"/>
    </xf>
    <xf numFmtId="1" fontId="25" fillId="27" borderId="33" xfId="0" applyNumberFormat="1" applyFont="1" applyFill="1" applyBorder="1" applyAlignment="1">
      <alignment horizontal="center" vertical="center"/>
    </xf>
    <xf numFmtId="1" fontId="28" fillId="27" borderId="75" xfId="0" applyNumberFormat="1" applyFont="1" applyFill="1" applyBorder="1" applyAlignment="1">
      <alignment horizontal="center" vertical="center" wrapText="1"/>
    </xf>
    <xf numFmtId="0" fontId="38" fillId="28" borderId="115" xfId="0" applyFont="1" applyFill="1" applyBorder="1" applyAlignment="1">
      <alignment vertical="top"/>
    </xf>
    <xf numFmtId="0" fontId="34" fillId="30" borderId="41" xfId="0" applyFont="1" applyFill="1" applyBorder="1"/>
    <xf numFmtId="0" fontId="25" fillId="30" borderId="41" xfId="0" applyFont="1" applyFill="1" applyBorder="1" applyAlignment="1">
      <alignment wrapText="1"/>
    </xf>
    <xf numFmtId="1" fontId="25" fillId="16" borderId="92" xfId="0" applyNumberFormat="1" applyFont="1" applyFill="1" applyBorder="1" applyAlignment="1">
      <alignment horizontal="center" vertical="center"/>
    </xf>
    <xf numFmtId="0" fontId="25" fillId="30" borderId="41" xfId="0" applyFont="1" applyFill="1" applyBorder="1"/>
    <xf numFmtId="1" fontId="25" fillId="13" borderId="36" xfId="0" applyNumberFormat="1" applyFont="1" applyFill="1" applyBorder="1" applyAlignment="1">
      <alignment horizontal="center" vertical="center"/>
    </xf>
    <xf numFmtId="1" fontId="28" fillId="13" borderId="110" xfId="0" applyNumberFormat="1" applyFont="1" applyFill="1" applyBorder="1" applyAlignment="1" applyProtection="1">
      <alignment horizontal="center" vertical="center" wrapText="1"/>
      <protection locked="0"/>
    </xf>
    <xf numFmtId="0" fontId="35" fillId="30" borderId="41" xfId="0" applyFont="1" applyFill="1" applyBorder="1"/>
    <xf numFmtId="1" fontId="28" fillId="13" borderId="10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33" xfId="0" applyFont="1" applyBorder="1"/>
    <xf numFmtId="0" fontId="34" fillId="30" borderId="33" xfId="0" applyFont="1" applyFill="1" applyBorder="1"/>
    <xf numFmtId="0" fontId="25" fillId="30" borderId="33" xfId="0" applyFont="1" applyFill="1" applyBorder="1"/>
    <xf numFmtId="0" fontId="25" fillId="13" borderId="37" xfId="0" applyFont="1" applyFill="1" applyBorder="1" applyAlignment="1">
      <alignment horizontal="center" vertical="center"/>
    </xf>
    <xf numFmtId="1" fontId="28" fillId="13" borderId="116" xfId="0" applyNumberFormat="1" applyFont="1" applyFill="1" applyBorder="1" applyAlignment="1" applyProtection="1">
      <alignment horizontal="center" vertical="center" wrapText="1"/>
      <protection locked="0"/>
    </xf>
    <xf numFmtId="1" fontId="25" fillId="16" borderId="115" xfId="0" applyNumberFormat="1" applyFont="1" applyFill="1" applyBorder="1" applyAlignment="1">
      <alignment horizontal="center" vertical="center"/>
    </xf>
    <xf numFmtId="0" fontId="34" fillId="0" borderId="0" xfId="0" applyFont="1"/>
    <xf numFmtId="0" fontId="25" fillId="0" borderId="43" xfId="0" applyFont="1" applyBorder="1"/>
    <xf numFmtId="0" fontId="25" fillId="0" borderId="33" xfId="0" applyFont="1" applyBorder="1" applyAlignment="1">
      <alignment horizontal="center" vertical="center"/>
    </xf>
    <xf numFmtId="0" fontId="28" fillId="25" borderId="104" xfId="0" applyFont="1" applyFill="1" applyBorder="1" applyAlignment="1">
      <alignment horizontal="center" vertical="center" wrapText="1"/>
    </xf>
    <xf numFmtId="1" fontId="25" fillId="0" borderId="117" xfId="0" applyNumberFormat="1" applyFont="1" applyBorder="1" applyAlignment="1">
      <alignment horizontal="center" vertical="center"/>
    </xf>
    <xf numFmtId="0" fontId="34" fillId="0" borderId="118" xfId="0" applyFont="1" applyBorder="1"/>
    <xf numFmtId="0" fontId="25" fillId="0" borderId="41" xfId="0" applyFont="1" applyBorder="1" applyAlignment="1">
      <alignment wrapText="1"/>
    </xf>
    <xf numFmtId="0" fontId="25" fillId="22" borderId="34" xfId="0" applyFont="1" applyFill="1" applyBorder="1" applyAlignment="1">
      <alignment horizontal="center" vertical="center"/>
    </xf>
    <xf numFmtId="1" fontId="25" fillId="22" borderId="34" xfId="0" applyNumberFormat="1" applyFont="1" applyFill="1" applyBorder="1" applyAlignment="1">
      <alignment horizontal="center" vertical="center"/>
    </xf>
    <xf numFmtId="1" fontId="28" fillId="22" borderId="104" xfId="0" applyNumberFormat="1" applyFont="1" applyFill="1" applyBorder="1" applyAlignment="1" applyProtection="1">
      <alignment horizontal="center" vertical="center" wrapText="1"/>
      <protection locked="0"/>
    </xf>
    <xf numFmtId="0" fontId="25" fillId="16" borderId="92" xfId="0" applyFont="1" applyFill="1" applyBorder="1" applyAlignment="1">
      <alignment horizontal="center" vertical="center"/>
    </xf>
    <xf numFmtId="0" fontId="34" fillId="0" borderId="41" xfId="0" applyFont="1" applyBorder="1"/>
    <xf numFmtId="0" fontId="25" fillId="0" borderId="41" xfId="0" applyFont="1" applyBorder="1"/>
    <xf numFmtId="9" fontId="25" fillId="13" borderId="34" xfId="0" applyNumberFormat="1" applyFont="1" applyFill="1" applyBorder="1" applyAlignment="1">
      <alignment horizontal="center" vertical="center"/>
    </xf>
    <xf numFmtId="9" fontId="25" fillId="16" borderId="92" xfId="0" applyNumberFormat="1" applyFont="1" applyFill="1" applyBorder="1" applyAlignment="1">
      <alignment horizontal="center" vertical="center"/>
    </xf>
    <xf numFmtId="0" fontId="35" fillId="0" borderId="41" xfId="0" applyFont="1" applyBorder="1"/>
    <xf numFmtId="0" fontId="34" fillId="0" borderId="33" xfId="0" applyFont="1" applyBorder="1"/>
    <xf numFmtId="0" fontId="34" fillId="0" borderId="43" xfId="0" applyFont="1" applyBorder="1"/>
    <xf numFmtId="0" fontId="25" fillId="0" borderId="119" xfId="0" applyFont="1" applyBorder="1"/>
    <xf numFmtId="9" fontId="25" fillId="13" borderId="43" xfId="0" applyNumberFormat="1" applyFont="1" applyFill="1" applyBorder="1" applyAlignment="1">
      <alignment horizontal="center" vertical="center"/>
    </xf>
    <xf numFmtId="9" fontId="25" fillId="13" borderId="120" xfId="0" applyNumberFormat="1" applyFont="1" applyFill="1" applyBorder="1" applyAlignment="1">
      <alignment horizontal="center" vertical="center"/>
    </xf>
    <xf numFmtId="9" fontId="28" fillId="13" borderId="116" xfId="0" applyNumberFormat="1" applyFont="1" applyFill="1" applyBorder="1" applyAlignment="1" applyProtection="1">
      <alignment horizontal="center" vertical="center" wrapText="1"/>
      <protection locked="0"/>
    </xf>
    <xf numFmtId="0" fontId="26" fillId="16" borderId="0" xfId="0" applyFont="1" applyFill="1"/>
    <xf numFmtId="0" fontId="25" fillId="0" borderId="121" xfId="0" applyFont="1" applyBorder="1"/>
    <xf numFmtId="9" fontId="25" fillId="13" borderId="0" xfId="0" applyNumberFormat="1" applyFont="1" applyFill="1" applyAlignment="1">
      <alignment horizontal="center" vertical="center"/>
    </xf>
    <xf numFmtId="0" fontId="28" fillId="25" borderId="6" xfId="0" applyFont="1" applyFill="1" applyBorder="1" applyAlignment="1">
      <alignment horizontal="center" vertical="center" wrapText="1"/>
    </xf>
    <xf numFmtId="9" fontId="25" fillId="16" borderId="122" xfId="0" applyNumberFormat="1" applyFont="1" applyFill="1" applyBorder="1" applyAlignment="1">
      <alignment horizontal="center" vertical="center"/>
    </xf>
    <xf numFmtId="0" fontId="37" fillId="28" borderId="0" xfId="0" applyFont="1" applyFill="1"/>
    <xf numFmtId="0" fontId="37" fillId="28" borderId="0" xfId="0" applyFont="1" applyFill="1" applyAlignment="1">
      <alignment vertical="top"/>
    </xf>
    <xf numFmtId="0" fontId="38" fillId="28" borderId="0" xfId="0" applyFont="1" applyFill="1" applyAlignment="1">
      <alignment vertical="top"/>
    </xf>
    <xf numFmtId="0" fontId="38" fillId="28" borderId="0" xfId="0" applyFont="1" applyFill="1" applyAlignment="1">
      <alignment horizontal="center" vertical="center"/>
    </xf>
    <xf numFmtId="0" fontId="38" fillId="28" borderId="123" xfId="0" applyFont="1" applyFill="1" applyBorder="1" applyAlignment="1">
      <alignment horizontal="center" vertical="center"/>
    </xf>
    <xf numFmtId="0" fontId="28" fillId="28" borderId="0" xfId="0" applyFont="1" applyFill="1" applyAlignment="1">
      <alignment horizontal="center" vertical="center"/>
    </xf>
    <xf numFmtId="0" fontId="27" fillId="21" borderId="0" xfId="0" applyFont="1" applyFill="1" applyAlignment="1">
      <alignment vertical="center" textRotation="90"/>
    </xf>
    <xf numFmtId="0" fontId="37" fillId="21" borderId="41" xfId="0" applyFont="1" applyFill="1" applyBorder="1"/>
    <xf numFmtId="0" fontId="42" fillId="21" borderId="41" xfId="0" applyFont="1" applyFill="1" applyBorder="1"/>
    <xf numFmtId="0" fontId="42" fillId="21" borderId="34" xfId="0" applyFont="1" applyFill="1" applyBorder="1" applyAlignment="1">
      <alignment horizontal="center" vertical="center"/>
    </xf>
    <xf numFmtId="1" fontId="42" fillId="21" borderId="34" xfId="0" applyNumberFormat="1" applyFont="1" applyFill="1" applyBorder="1" applyAlignment="1">
      <alignment horizontal="center" vertical="center"/>
    </xf>
    <xf numFmtId="1" fontId="28" fillId="21" borderId="104" xfId="0" applyNumberFormat="1" applyFont="1" applyFill="1" applyBorder="1" applyAlignment="1">
      <alignment horizontal="center" vertical="center" wrapText="1"/>
    </xf>
    <xf numFmtId="0" fontId="38" fillId="28" borderId="93" xfId="0" applyFont="1" applyFill="1" applyBorder="1" applyAlignment="1">
      <alignment horizontal="center" vertical="center"/>
    </xf>
    <xf numFmtId="0" fontId="26" fillId="29" borderId="33" xfId="0" applyFont="1" applyFill="1" applyBorder="1"/>
    <xf numFmtId="0" fontId="28" fillId="29" borderId="33" xfId="0" applyFont="1" applyFill="1" applyBorder="1" applyAlignment="1">
      <alignment wrapText="1"/>
    </xf>
    <xf numFmtId="1" fontId="28" fillId="24" borderId="75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textRotation="90"/>
    </xf>
    <xf numFmtId="1" fontId="28" fillId="24" borderId="104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0" applyFont="1"/>
    <xf numFmtId="0" fontId="34" fillId="30" borderId="41" xfId="0" applyFont="1" applyFill="1" applyBorder="1" applyAlignment="1">
      <alignment horizontal="left"/>
    </xf>
    <xf numFmtId="0" fontId="42" fillId="0" borderId="33" xfId="0" applyFont="1" applyBorder="1"/>
    <xf numFmtId="0" fontId="34" fillId="30" borderId="33" xfId="0" applyFont="1" applyFill="1" applyBorder="1" applyAlignment="1">
      <alignment horizontal="left"/>
    </xf>
    <xf numFmtId="0" fontId="25" fillId="13" borderId="33" xfId="0" applyFont="1" applyFill="1" applyBorder="1" applyAlignment="1">
      <alignment horizontal="center" vertical="center"/>
    </xf>
    <xf numFmtId="0" fontId="28" fillId="13" borderId="75" xfId="0" applyFont="1" applyFill="1" applyBorder="1" applyAlignment="1" applyProtection="1">
      <alignment horizontal="center" vertical="center" wrapText="1"/>
      <protection locked="0"/>
    </xf>
    <xf numFmtId="0" fontId="35" fillId="0" borderId="43" xfId="0" applyFont="1" applyBorder="1"/>
    <xf numFmtId="0" fontId="28" fillId="0" borderId="43" xfId="0" applyFont="1" applyBorder="1"/>
    <xf numFmtId="1" fontId="25" fillId="13" borderId="0" xfId="0" applyNumberFormat="1" applyFont="1" applyFill="1" applyAlignment="1">
      <alignment horizontal="center" vertical="center"/>
    </xf>
    <xf numFmtId="1" fontId="28" fillId="24" borderId="124" xfId="0" applyNumberFormat="1" applyFont="1" applyFill="1" applyBorder="1" applyProtection="1">
      <protection locked="0"/>
    </xf>
    <xf numFmtId="0" fontId="42" fillId="21" borderId="0" xfId="0" applyFont="1" applyFill="1"/>
    <xf numFmtId="0" fontId="37" fillId="21" borderId="0" xfId="0" applyFont="1" applyFill="1" applyAlignment="1">
      <alignment horizontal="left"/>
    </xf>
    <xf numFmtId="1" fontId="42" fillId="21" borderId="0" xfId="0" applyNumberFormat="1" applyFont="1" applyFill="1" applyAlignment="1">
      <alignment horizontal="center" vertical="center"/>
    </xf>
    <xf numFmtId="1" fontId="28" fillId="21" borderId="6" xfId="0" applyNumberFormat="1" applyFont="1" applyFill="1" applyBorder="1" applyAlignment="1">
      <alignment horizontal="center" vertical="center" wrapText="1"/>
    </xf>
    <xf numFmtId="0" fontId="38" fillId="28" borderId="125" xfId="0" applyFont="1" applyFill="1" applyBorder="1" applyAlignment="1">
      <alignment horizontal="center" vertical="center"/>
    </xf>
    <xf numFmtId="0" fontId="35" fillId="30" borderId="0" xfId="0" applyFont="1" applyFill="1"/>
    <xf numFmtId="0" fontId="28" fillId="30" borderId="0" xfId="0" applyFont="1" applyFill="1"/>
    <xf numFmtId="0" fontId="28" fillId="13" borderId="72" xfId="0" applyFont="1" applyFill="1" applyBorder="1" applyAlignment="1" applyProtection="1">
      <alignment horizontal="center" vertical="center"/>
      <protection locked="0"/>
    </xf>
    <xf numFmtId="1" fontId="25" fillId="0" borderId="92" xfId="0" applyNumberFormat="1" applyFont="1" applyBorder="1" applyAlignment="1">
      <alignment horizontal="center" vertical="center"/>
    </xf>
    <xf numFmtId="0" fontId="35" fillId="30" borderId="105" xfId="0" applyFont="1" applyFill="1" applyBorder="1" applyAlignment="1">
      <alignment horizontal="left"/>
    </xf>
    <xf numFmtId="0" fontId="28" fillId="30" borderId="105" xfId="0" applyFont="1" applyFill="1" applyBorder="1"/>
    <xf numFmtId="0" fontId="25" fillId="13" borderId="105" xfId="0" applyFont="1" applyFill="1" applyBorder="1" applyAlignment="1">
      <alignment horizontal="center" vertical="center"/>
    </xf>
    <xf numFmtId="0" fontId="28" fillId="31" borderId="106" xfId="0" applyFont="1" applyFill="1" applyBorder="1" applyAlignment="1" applyProtection="1">
      <alignment horizontal="center" vertical="center" wrapText="1"/>
      <protection locked="0"/>
    </xf>
    <xf numFmtId="0" fontId="35" fillId="30" borderId="33" xfId="0" applyFont="1" applyFill="1" applyBorder="1" applyAlignment="1">
      <alignment horizontal="left"/>
    </xf>
    <xf numFmtId="0" fontId="28" fillId="30" borderId="33" xfId="0" applyFont="1" applyFill="1" applyBorder="1"/>
    <xf numFmtId="0" fontId="28" fillId="31" borderId="75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left"/>
    </xf>
    <xf numFmtId="0" fontId="28" fillId="0" borderId="0" xfId="0" applyFont="1"/>
    <xf numFmtId="1" fontId="28" fillId="24" borderId="6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93" xfId="0" applyNumberFormat="1" applyFont="1" applyBorder="1" applyAlignment="1">
      <alignment horizontal="center" vertical="center"/>
    </xf>
    <xf numFmtId="0" fontId="37" fillId="28" borderId="44" xfId="0" applyFont="1" applyFill="1" applyBorder="1"/>
    <xf numFmtId="0" fontId="37" fillId="28" borderId="44" xfId="0" applyFont="1" applyFill="1" applyBorder="1" applyAlignment="1">
      <alignment vertical="top"/>
    </xf>
    <xf numFmtId="0" fontId="38" fillId="28" borderId="44" xfId="0" applyFont="1" applyFill="1" applyBorder="1" applyAlignment="1">
      <alignment vertical="top"/>
    </xf>
    <xf numFmtId="0" fontId="38" fillId="28" borderId="44" xfId="0" applyFont="1" applyFill="1" applyBorder="1" applyAlignment="1">
      <alignment horizontal="center" vertical="center"/>
    </xf>
    <xf numFmtId="0" fontId="28" fillId="28" borderId="126" xfId="0" applyFont="1" applyFill="1" applyBorder="1" applyAlignment="1">
      <alignment horizontal="center" vertical="center" wrapText="1"/>
    </xf>
    <xf numFmtId="0" fontId="38" fillId="28" borderId="127" xfId="0" applyFont="1" applyFill="1" applyBorder="1" applyAlignment="1">
      <alignment horizontal="center" vertical="center"/>
    </xf>
    <xf numFmtId="0" fontId="34" fillId="0" borderId="41" xfId="0" applyFont="1" applyBorder="1" applyAlignment="1">
      <alignment horizontal="left"/>
    </xf>
    <xf numFmtId="1" fontId="25" fillId="13" borderId="34" xfId="0" applyNumberFormat="1" applyFont="1" applyFill="1" applyBorder="1" applyAlignment="1">
      <alignment horizontal="center" vertical="center"/>
    </xf>
    <xf numFmtId="1" fontId="28" fillId="13" borderId="6" xfId="0" applyNumberFormat="1" applyFont="1" applyFill="1" applyBorder="1" applyAlignment="1" applyProtection="1">
      <alignment horizontal="center" vertical="center" wrapText="1"/>
      <protection locked="0"/>
    </xf>
    <xf numFmtId="1" fontId="25" fillId="0" borderId="111" xfId="0" applyNumberFormat="1" applyFont="1" applyBorder="1" applyAlignment="1">
      <alignment horizontal="center" vertical="center"/>
    </xf>
    <xf numFmtId="0" fontId="35" fillId="0" borderId="41" xfId="0" applyFont="1" applyBorder="1" applyAlignment="1">
      <alignment horizontal="left"/>
    </xf>
    <xf numFmtId="0" fontId="28" fillId="0" borderId="41" xfId="0" applyFont="1" applyBorder="1"/>
    <xf numFmtId="1" fontId="25" fillId="13" borderId="37" xfId="0" applyNumberFormat="1" applyFont="1" applyFill="1" applyBorder="1" applyAlignment="1">
      <alignment horizontal="center" vertical="center"/>
    </xf>
    <xf numFmtId="1" fontId="28" fillId="13" borderId="124" xfId="0" applyNumberFormat="1" applyFont="1" applyFill="1" applyBorder="1" applyAlignment="1" applyProtection="1">
      <alignment horizontal="center" vertical="center" wrapText="1"/>
      <protection locked="0"/>
    </xf>
    <xf numFmtId="1" fontId="25" fillId="0" borderId="128" xfId="0" applyNumberFormat="1" applyFont="1" applyBorder="1" applyAlignment="1">
      <alignment horizontal="center" vertical="center"/>
    </xf>
    <xf numFmtId="1" fontId="28" fillId="13" borderId="6" xfId="0" applyNumberFormat="1" applyFont="1" applyFill="1" applyBorder="1" applyAlignment="1">
      <alignment horizontal="center" vertical="center" wrapText="1"/>
    </xf>
    <xf numFmtId="1" fontId="25" fillId="26" borderId="117" xfId="0" applyNumberFormat="1" applyFont="1" applyFill="1" applyBorder="1" applyAlignment="1">
      <alignment horizontal="center" vertical="center"/>
    </xf>
    <xf numFmtId="0" fontId="37" fillId="28" borderId="129" xfId="0" applyFont="1" applyFill="1" applyBorder="1"/>
    <xf numFmtId="0" fontId="37" fillId="28" borderId="40" xfId="0" applyFont="1" applyFill="1" applyBorder="1" applyAlignment="1">
      <alignment vertical="top"/>
    </xf>
    <xf numFmtId="0" fontId="38" fillId="28" borderId="40" xfId="0" applyFont="1" applyFill="1" applyBorder="1" applyAlignment="1">
      <alignment vertical="top"/>
    </xf>
    <xf numFmtId="0" fontId="38" fillId="28" borderId="40" xfId="0" applyFont="1" applyFill="1" applyBorder="1" applyAlignment="1">
      <alignment horizontal="center" vertical="center"/>
    </xf>
    <xf numFmtId="0" fontId="28" fillId="28" borderId="129" xfId="0" applyFont="1" applyFill="1" applyBorder="1" applyAlignment="1">
      <alignment horizontal="center" vertical="center" wrapText="1"/>
    </xf>
    <xf numFmtId="0" fontId="28" fillId="28" borderId="130" xfId="0" applyFont="1" applyFill="1" applyBorder="1" applyAlignment="1">
      <alignment horizontal="center" vertical="center" wrapText="1"/>
    </xf>
    <xf numFmtId="0" fontId="28" fillId="28" borderId="43" xfId="0" applyFont="1" applyFill="1" applyBorder="1" applyAlignment="1">
      <alignment horizontal="center" vertical="center" wrapText="1"/>
    </xf>
    <xf numFmtId="0" fontId="34" fillId="0" borderId="131" xfId="0" applyFont="1" applyBorder="1"/>
    <xf numFmtId="1" fontId="28" fillId="13" borderId="132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45" xfId="0" applyFont="1" applyBorder="1"/>
    <xf numFmtId="0" fontId="34" fillId="0" borderId="45" xfId="0" applyFont="1" applyBorder="1"/>
    <xf numFmtId="0" fontId="25" fillId="0" borderId="44" xfId="0" applyFont="1" applyBorder="1" applyAlignment="1">
      <alignment vertical="center" wrapText="1"/>
    </xf>
    <xf numFmtId="1" fontId="25" fillId="13" borderId="45" xfId="0" applyNumberFormat="1" applyFont="1" applyFill="1" applyBorder="1" applyAlignment="1">
      <alignment horizontal="center" vertical="center"/>
    </xf>
    <xf numFmtId="1" fontId="28" fillId="24" borderId="133" xfId="0" applyNumberFormat="1" applyFont="1" applyFill="1" applyBorder="1" applyAlignment="1">
      <alignment horizontal="center" vertical="center" wrapText="1"/>
    </xf>
    <xf numFmtId="1" fontId="25" fillId="0" borderId="134" xfId="0" applyNumberFormat="1" applyFont="1" applyBorder="1" applyAlignment="1">
      <alignment horizontal="center" vertical="center"/>
    </xf>
    <xf numFmtId="1" fontId="28" fillId="13" borderId="104" xfId="0" applyNumberFormat="1" applyFont="1" applyFill="1" applyBorder="1" applyAlignment="1">
      <alignment horizontal="center" vertical="center" wrapText="1"/>
    </xf>
    <xf numFmtId="1" fontId="25" fillId="0" borderId="93" xfId="0" applyNumberFormat="1" applyFont="1" applyBorder="1" applyAlignment="1">
      <alignment horizontal="center" vertical="center"/>
    </xf>
    <xf numFmtId="1" fontId="28" fillId="13" borderId="110" xfId="0" applyNumberFormat="1" applyFont="1" applyFill="1" applyBorder="1" applyAlignment="1">
      <alignment horizontal="center" vertical="center" wrapText="1"/>
    </xf>
    <xf numFmtId="0" fontId="37" fillId="28" borderId="78" xfId="0" applyFont="1" applyFill="1" applyBorder="1"/>
    <xf numFmtId="0" fontId="37" fillId="28" borderId="15" xfId="0" applyFont="1" applyFill="1" applyBorder="1" applyAlignment="1">
      <alignment vertical="top"/>
    </xf>
    <xf numFmtId="0" fontId="44" fillId="28" borderId="15" xfId="0" applyFont="1" applyFill="1" applyBorder="1"/>
    <xf numFmtId="0" fontId="38" fillId="28" borderId="15" xfId="0" applyFont="1" applyFill="1" applyBorder="1" applyAlignment="1">
      <alignment horizontal="center" vertical="center"/>
    </xf>
    <xf numFmtId="0" fontId="28" fillId="28" borderId="75" xfId="0" applyFont="1" applyFill="1" applyBorder="1" applyAlignment="1">
      <alignment horizontal="center" vertical="center"/>
    </xf>
    <xf numFmtId="0" fontId="38" fillId="28" borderId="135" xfId="0" applyFont="1" applyFill="1" applyBorder="1" applyAlignment="1">
      <alignment horizontal="center" vertical="center"/>
    </xf>
    <xf numFmtId="1" fontId="25" fillId="0" borderId="136" xfId="0" applyNumberFormat="1" applyFont="1" applyBorder="1" applyAlignment="1">
      <alignment horizontal="center" vertical="center"/>
    </xf>
    <xf numFmtId="9" fontId="25" fillId="0" borderId="92" xfId="0" applyNumberFormat="1" applyFont="1" applyBorder="1" applyAlignment="1">
      <alignment horizontal="center" vertical="center"/>
    </xf>
    <xf numFmtId="0" fontId="34" fillId="0" borderId="43" xfId="0" applyFont="1" applyBorder="1" applyAlignment="1">
      <alignment horizontal="left" vertical="center" wrapText="1"/>
    </xf>
    <xf numFmtId="0" fontId="25" fillId="0" borderId="43" xfId="0" applyFont="1" applyBorder="1" applyAlignment="1">
      <alignment wrapText="1"/>
    </xf>
    <xf numFmtId="1" fontId="25" fillId="13" borderId="43" xfId="0" applyNumberFormat="1" applyFont="1" applyFill="1" applyBorder="1" applyAlignment="1">
      <alignment horizontal="center" vertical="center"/>
    </xf>
    <xf numFmtId="9" fontId="25" fillId="0" borderId="117" xfId="0" applyNumberFormat="1" applyFont="1" applyBorder="1" applyAlignment="1">
      <alignment horizontal="center" vertical="center"/>
    </xf>
    <xf numFmtId="0" fontId="37" fillId="28" borderId="43" xfId="0" applyFont="1" applyFill="1" applyBorder="1"/>
    <xf numFmtId="0" fontId="37" fillId="28" borderId="137" xfId="0" applyFont="1" applyFill="1" applyBorder="1" applyAlignment="1">
      <alignment vertical="top"/>
    </xf>
    <xf numFmtId="0" fontId="28" fillId="28" borderId="6" xfId="0" applyFont="1" applyFill="1" applyBorder="1" applyAlignment="1">
      <alignment horizontal="center" vertical="center" wrapText="1"/>
    </xf>
    <xf numFmtId="0" fontId="41" fillId="0" borderId="41" xfId="0" applyFont="1" applyBorder="1" applyAlignment="1">
      <alignment vertical="center"/>
    </xf>
    <xf numFmtId="0" fontId="25" fillId="0" borderId="38" xfId="0" applyFont="1" applyBorder="1" applyAlignment="1">
      <alignment wrapText="1"/>
    </xf>
    <xf numFmtId="1" fontId="25" fillId="13" borderId="39" xfId="0" applyNumberFormat="1" applyFont="1" applyFill="1" applyBorder="1" applyAlignment="1">
      <alignment horizontal="center" vertical="center"/>
    </xf>
    <xf numFmtId="1" fontId="28" fillId="13" borderId="138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41" xfId="0" applyFont="1" applyBorder="1" applyAlignment="1">
      <alignment vertical="center"/>
    </xf>
    <xf numFmtId="0" fontId="25" fillId="0" borderId="41" xfId="0" applyFont="1" applyBorder="1" applyAlignment="1">
      <alignment horizontal="left" vertical="top" wrapText="1"/>
    </xf>
    <xf numFmtId="1" fontId="25" fillId="13" borderId="46" xfId="0" applyNumberFormat="1" applyFont="1" applyFill="1" applyBorder="1" applyAlignment="1">
      <alignment horizontal="center" vertical="center" wrapText="1"/>
    </xf>
    <xf numFmtId="0" fontId="34" fillId="0" borderId="119" xfId="0" applyFont="1" applyBorder="1"/>
    <xf numFmtId="1" fontId="25" fillId="13" borderId="140" xfId="0" applyNumberFormat="1" applyFont="1" applyFill="1" applyBorder="1" applyAlignment="1">
      <alignment horizontal="center" vertical="center"/>
    </xf>
    <xf numFmtId="1" fontId="28" fillId="13" borderId="141" xfId="0" applyNumberFormat="1" applyFont="1" applyFill="1" applyBorder="1" applyAlignment="1" applyProtection="1">
      <alignment horizontal="center" vertical="center" wrapText="1"/>
      <protection locked="0"/>
    </xf>
    <xf numFmtId="0" fontId="37" fillId="28" borderId="142" xfId="0" applyFont="1" applyFill="1" applyBorder="1"/>
    <xf numFmtId="0" fontId="37" fillId="28" borderId="143" xfId="0" applyFont="1" applyFill="1" applyBorder="1" applyAlignment="1">
      <alignment vertical="top"/>
    </xf>
    <xf numFmtId="0" fontId="38" fillId="28" borderId="143" xfId="0" applyFont="1" applyFill="1" applyBorder="1" applyAlignment="1">
      <alignment vertical="top"/>
    </xf>
    <xf numFmtId="0" fontId="38" fillId="28" borderId="143" xfId="0" applyFont="1" applyFill="1" applyBorder="1" applyAlignment="1">
      <alignment horizontal="center" vertical="center"/>
    </xf>
    <xf numFmtId="0" fontId="28" fillId="28" borderId="144" xfId="0" applyFont="1" applyFill="1" applyBorder="1" applyAlignment="1">
      <alignment horizontal="center" vertical="center" wrapText="1"/>
    </xf>
    <xf numFmtId="0" fontId="25" fillId="31" borderId="34" xfId="0" applyFont="1" applyFill="1" applyBorder="1" applyAlignment="1">
      <alignment horizontal="center" vertical="center"/>
    </xf>
    <xf numFmtId="0" fontId="28" fillId="31" borderId="104" xfId="0" applyFont="1" applyFill="1" applyBorder="1" applyAlignment="1" applyProtection="1">
      <alignment horizontal="center" vertical="center" wrapText="1"/>
      <protection locked="0"/>
    </xf>
    <xf numFmtId="0" fontId="25" fillId="32" borderId="92" xfId="0" applyFont="1" applyFill="1" applyBorder="1" applyAlignment="1">
      <alignment horizontal="center" vertical="center"/>
    </xf>
    <xf numFmtId="0" fontId="34" fillId="30" borderId="33" xfId="0" applyFont="1" applyFill="1" applyBorder="1" applyAlignment="1">
      <alignment vertical="center" textRotation="90"/>
    </xf>
    <xf numFmtId="1" fontId="25" fillId="24" borderId="33" xfId="0" applyNumberFormat="1" applyFont="1" applyFill="1" applyBorder="1" applyAlignment="1">
      <alignment horizontal="center" vertical="center"/>
    </xf>
    <xf numFmtId="1" fontId="46" fillId="24" borderId="75" xfId="0" applyNumberFormat="1" applyFont="1" applyFill="1" applyBorder="1" applyAlignment="1" applyProtection="1">
      <alignment horizontal="center" vertical="center" wrapText="1"/>
      <protection locked="0"/>
    </xf>
    <xf numFmtId="0" fontId="38" fillId="28" borderId="115" xfId="0" applyFont="1" applyFill="1" applyBorder="1" applyAlignment="1">
      <alignment horizontal="center" vertical="center"/>
    </xf>
    <xf numFmtId="0" fontId="28" fillId="31" borderId="145" xfId="0" applyFont="1" applyFill="1" applyBorder="1" applyAlignment="1" applyProtection="1">
      <alignment horizontal="center" vertical="center"/>
      <protection locked="0"/>
    </xf>
    <xf numFmtId="0" fontId="34" fillId="30" borderId="42" xfId="0" applyFont="1" applyFill="1" applyBorder="1"/>
    <xf numFmtId="0" fontId="25" fillId="30" borderId="42" xfId="0" applyFont="1" applyFill="1" applyBorder="1"/>
    <xf numFmtId="0" fontId="25" fillId="31" borderId="33" xfId="0" applyFont="1" applyFill="1" applyBorder="1" applyAlignment="1">
      <alignment horizontal="center" vertical="center"/>
    </xf>
    <xf numFmtId="0" fontId="28" fillId="31" borderId="75" xfId="0" applyFont="1" applyFill="1" applyBorder="1" applyAlignment="1" applyProtection="1">
      <alignment horizontal="center" vertical="center"/>
      <protection locked="0"/>
    </xf>
    <xf numFmtId="1" fontId="26" fillId="0" borderId="115" xfId="0" applyNumberFormat="1" applyFont="1" applyBorder="1" applyAlignment="1">
      <alignment horizontal="center" vertical="center"/>
    </xf>
    <xf numFmtId="0" fontId="26" fillId="0" borderId="142" xfId="0" applyFont="1" applyBorder="1"/>
    <xf numFmtId="0" fontId="34" fillId="0" borderId="142" xfId="0" applyFont="1" applyBorder="1" applyAlignment="1">
      <alignment vertical="center"/>
    </xf>
    <xf numFmtId="0" fontId="25" fillId="0" borderId="142" xfId="0" applyFont="1" applyBorder="1" applyAlignment="1">
      <alignment wrapText="1"/>
    </xf>
    <xf numFmtId="0" fontId="25" fillId="31" borderId="142" xfId="0" applyFont="1" applyFill="1" applyBorder="1" applyAlignment="1">
      <alignment horizontal="center" vertical="center"/>
    </xf>
    <xf numFmtId="1" fontId="28" fillId="24" borderId="146" xfId="0" applyNumberFormat="1" applyFont="1" applyFill="1" applyBorder="1" applyAlignment="1" applyProtection="1">
      <alignment horizontal="center" vertical="center" wrapText="1"/>
      <protection locked="0"/>
    </xf>
    <xf numFmtId="1" fontId="25" fillId="11" borderId="122" xfId="0" applyNumberFormat="1" applyFont="1" applyFill="1" applyBorder="1" applyAlignment="1">
      <alignment horizontal="center" vertical="center"/>
    </xf>
    <xf numFmtId="0" fontId="26" fillId="33" borderId="0" xfId="0" applyFont="1" applyFill="1"/>
    <xf numFmtId="0" fontId="26" fillId="33" borderId="147" xfId="0" applyFont="1" applyFill="1" applyBorder="1"/>
    <xf numFmtId="0" fontId="28" fillId="0" borderId="6" xfId="0" applyFont="1" applyBorder="1"/>
    <xf numFmtId="0" fontId="26" fillId="0" borderId="148" xfId="0" applyFont="1" applyBorder="1"/>
    <xf numFmtId="0" fontId="26" fillId="0" borderId="96" xfId="0" applyFont="1" applyBorder="1"/>
    <xf numFmtId="0" fontId="26" fillId="0" borderId="149" xfId="0" applyFont="1" applyBorder="1"/>
    <xf numFmtId="0" fontId="47" fillId="0" borderId="92" xfId="0" applyFont="1" applyBorder="1" applyAlignment="1">
      <alignment horizontal="center" vertical="center"/>
    </xf>
    <xf numFmtId="1" fontId="47" fillId="23" borderId="92" xfId="0" applyNumberFormat="1" applyFont="1" applyFill="1" applyBorder="1" applyAlignment="1">
      <alignment horizontal="center" vertical="center"/>
    </xf>
    <xf numFmtId="2" fontId="47" fillId="0" borderId="109" xfId="0" applyNumberFormat="1" applyFont="1" applyBorder="1" applyAlignment="1">
      <alignment horizontal="center" vertical="center"/>
    </xf>
    <xf numFmtId="0" fontId="47" fillId="0" borderId="109" xfId="0" applyFont="1" applyBorder="1" applyAlignment="1">
      <alignment horizontal="center" vertical="center"/>
    </xf>
    <xf numFmtId="1" fontId="47" fillId="16" borderId="92" xfId="0" applyNumberFormat="1" applyFont="1" applyFill="1" applyBorder="1" applyAlignment="1">
      <alignment horizontal="center" vertical="center"/>
    </xf>
    <xf numFmtId="1" fontId="47" fillId="0" borderId="93" xfId="0" applyNumberFormat="1" applyFont="1" applyBorder="1" applyAlignment="1">
      <alignment horizontal="center" vertical="center"/>
    </xf>
    <xf numFmtId="1" fontId="47" fillId="0" borderId="136" xfId="0" applyNumberFormat="1" applyFont="1" applyBorder="1" applyAlignment="1">
      <alignment horizontal="center" vertical="center"/>
    </xf>
    <xf numFmtId="9" fontId="47" fillId="0" borderId="92" xfId="0" applyNumberFormat="1" applyFont="1" applyBorder="1" applyAlignment="1">
      <alignment horizontal="center" vertical="center"/>
    </xf>
    <xf numFmtId="0" fontId="4" fillId="0" borderId="0" xfId="2" applyAlignment="1" applyProtection="1">
      <alignment vertical="center"/>
      <protection locked="0"/>
    </xf>
    <xf numFmtId="0" fontId="4" fillId="0" borderId="0" xfId="2" applyAlignment="1" applyProtection="1">
      <alignment vertical="center" wrapText="1"/>
      <protection locked="0"/>
    </xf>
    <xf numFmtId="0" fontId="6" fillId="0" borderId="0" xfId="2" applyFont="1" applyAlignment="1" applyProtection="1">
      <alignment vertical="center"/>
      <protection locked="0"/>
    </xf>
    <xf numFmtId="49" fontId="3" fillId="0" borderId="22" xfId="0" applyNumberFormat="1" applyFont="1" applyBorder="1" applyAlignment="1" applyProtection="1">
      <alignment horizontal="left" vertical="center"/>
      <protection locked="0"/>
    </xf>
    <xf numFmtId="49" fontId="3" fillId="6" borderId="2" xfId="0" applyNumberFormat="1" applyFont="1" applyFill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5" borderId="27" xfId="0" applyNumberFormat="1" applyFont="1" applyFill="1" applyBorder="1" applyAlignment="1" applyProtection="1">
      <alignment horizontal="left" vertical="center"/>
      <protection locked="0"/>
    </xf>
    <xf numFmtId="49" fontId="3" fillId="5" borderId="2" xfId="0" applyNumberFormat="1" applyFont="1" applyFill="1" applyBorder="1" applyAlignment="1" applyProtection="1">
      <alignment horizontal="left" vertical="center"/>
      <protection locked="0"/>
    </xf>
    <xf numFmtId="49" fontId="3" fillId="6" borderId="27" xfId="0" applyNumberFormat="1" applyFont="1" applyFill="1" applyBorder="1" applyAlignment="1" applyProtection="1">
      <alignment horizontal="left" vertical="center"/>
      <protection locked="0"/>
    </xf>
    <xf numFmtId="0" fontId="5" fillId="0" borderId="78" xfId="2" applyFont="1" applyBorder="1" applyAlignment="1" applyProtection="1">
      <alignment vertical="center"/>
      <protection locked="0"/>
    </xf>
    <xf numFmtId="168" fontId="2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67" xfId="0" applyFont="1" applyBorder="1" applyAlignment="1" applyProtection="1">
      <alignment horizontal="center" vertical="center" wrapText="1"/>
      <protection locked="0"/>
    </xf>
    <xf numFmtId="168" fontId="2" fillId="10" borderId="16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0" xfId="0" applyFont="1" applyBorder="1" applyAlignment="1" applyProtection="1">
      <alignment horizontal="center" vertical="center" wrapText="1"/>
      <protection locked="0"/>
    </xf>
    <xf numFmtId="0" fontId="62" fillId="0" borderId="2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2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2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2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1" fillId="6" borderId="2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1" fillId="5" borderId="2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1" fillId="5" borderId="2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1" fillId="0" borderId="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3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14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2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3" xfId="0" applyFont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14" xfId="0" applyFont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2" xfId="0" applyFont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28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31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27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23" xfId="0" applyFont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26" xfId="0" applyFont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22" xfId="0" applyFont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3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14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2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28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31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27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174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174" xfId="0" applyFont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176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177" xfId="0" applyFont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174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176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57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57" xfId="0" applyFont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181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182" xfId="0" applyFont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57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181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6" borderId="5" xfId="0" applyFont="1" applyFill="1" applyBorder="1" applyAlignment="1" applyProtection="1">
      <alignment vertical="center" wrapText="1"/>
      <protection locked="0"/>
    </xf>
    <xf numFmtId="0" fontId="62" fillId="6" borderId="174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2" xfId="0" applyFont="1" applyFill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3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5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17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3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57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17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28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18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177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23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18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174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3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5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17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2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28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18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40" borderId="163" xfId="0" applyFont="1" applyFill="1" applyBorder="1" applyAlignment="1" applyProtection="1">
      <alignment horizontal="left" vertical="center" wrapText="1"/>
      <protection locked="0"/>
    </xf>
    <xf numFmtId="0" fontId="3" fillId="42" borderId="191" xfId="0" applyFont="1" applyFill="1" applyBorder="1" applyAlignment="1" applyProtection="1">
      <alignment horizontal="left" vertical="center" wrapText="1"/>
      <protection locked="0"/>
    </xf>
    <xf numFmtId="0" fontId="3" fillId="40" borderId="192" xfId="0" applyFont="1" applyFill="1" applyBorder="1" applyAlignment="1" applyProtection="1">
      <alignment horizontal="left" vertical="center" wrapText="1"/>
      <protection locked="0"/>
    </xf>
    <xf numFmtId="0" fontId="3" fillId="42" borderId="163" xfId="0" applyFont="1" applyFill="1" applyBorder="1" applyAlignment="1" applyProtection="1">
      <alignment horizontal="left" vertical="center" wrapText="1"/>
      <protection locked="0"/>
    </xf>
    <xf numFmtId="0" fontId="3" fillId="40" borderId="191" xfId="0" applyFont="1" applyFill="1" applyBorder="1" applyAlignment="1" applyProtection="1">
      <alignment horizontal="left" vertical="center" wrapText="1"/>
      <protection locked="0"/>
    </xf>
    <xf numFmtId="0" fontId="3" fillId="6" borderId="31" xfId="0" applyFont="1" applyFill="1" applyBorder="1" applyAlignment="1" applyProtection="1">
      <alignment horizontal="left" vertical="center" wrapText="1"/>
      <protection locked="0"/>
    </xf>
    <xf numFmtId="0" fontId="3" fillId="40" borderId="61" xfId="0" applyFont="1" applyFill="1" applyBorder="1" applyAlignment="1" applyProtection="1">
      <alignment horizontal="left" vertical="center" wrapText="1"/>
      <protection locked="0"/>
    </xf>
    <xf numFmtId="0" fontId="3" fillId="42" borderId="63" xfId="0" applyFont="1" applyFill="1" applyBorder="1" applyAlignment="1" applyProtection="1">
      <alignment horizontal="left" vertical="center" wrapText="1"/>
      <protection locked="0"/>
    </xf>
    <xf numFmtId="0" fontId="3" fillId="40" borderId="64" xfId="0" applyFont="1" applyFill="1" applyBorder="1" applyAlignment="1" applyProtection="1">
      <alignment horizontal="left" vertical="center" wrapText="1"/>
      <protection locked="0"/>
    </xf>
    <xf numFmtId="0" fontId="3" fillId="42" borderId="61" xfId="0" applyFont="1" applyFill="1" applyBorder="1" applyAlignment="1" applyProtection="1">
      <alignment horizontal="left" vertical="center" wrapText="1"/>
      <protection locked="0"/>
    </xf>
    <xf numFmtId="0" fontId="3" fillId="40" borderId="63" xfId="0" applyFont="1" applyFill="1" applyBorder="1" applyAlignment="1" applyProtection="1">
      <alignment horizontal="left" vertical="center" wrapText="1"/>
      <protection locked="0"/>
    </xf>
    <xf numFmtId="0" fontId="3" fillId="40" borderId="194" xfId="0" applyFont="1" applyFill="1" applyBorder="1" applyAlignment="1" applyProtection="1">
      <alignment horizontal="left" vertical="top" wrapText="1"/>
      <protection locked="0"/>
    </xf>
    <xf numFmtId="1" fontId="1" fillId="6" borderId="5" xfId="0" applyNumberFormat="1" applyFont="1" applyFill="1" applyBorder="1" applyAlignment="1" applyProtection="1">
      <alignment horizontal="center" vertical="center"/>
      <protection locked="0"/>
    </xf>
    <xf numFmtId="1" fontId="1" fillId="0" borderId="5" xfId="0" applyNumberFormat="1" applyFont="1" applyBorder="1" applyAlignment="1" applyProtection="1">
      <alignment horizontal="center" vertical="center"/>
      <protection locked="0"/>
    </xf>
    <xf numFmtId="1" fontId="1" fillId="5" borderId="30" xfId="0" applyNumberFormat="1" applyFont="1" applyFill="1" applyBorder="1" applyAlignment="1" applyProtection="1">
      <alignment horizontal="center" vertical="center"/>
      <protection locked="0"/>
    </xf>
    <xf numFmtId="1" fontId="1" fillId="0" borderId="25" xfId="0" applyNumberFormat="1" applyFont="1" applyBorder="1" applyAlignment="1" applyProtection="1">
      <alignment horizontal="center" vertical="center"/>
      <protection locked="0"/>
    </xf>
    <xf numFmtId="1" fontId="1" fillId="5" borderId="5" xfId="0" applyNumberFormat="1" applyFont="1" applyFill="1" applyBorder="1" applyAlignment="1" applyProtection="1">
      <alignment horizontal="center" vertical="center"/>
      <protection locked="0"/>
    </xf>
    <xf numFmtId="1" fontId="1" fillId="6" borderId="30" xfId="0" applyNumberFormat="1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 applyProtection="1">
      <alignment horizontal="left" vertical="center" wrapText="1"/>
      <protection locked="0"/>
    </xf>
    <xf numFmtId="1" fontId="3" fillId="43" borderId="0" xfId="0" applyNumberFormat="1" applyFont="1" applyFill="1" applyAlignment="1" applyProtection="1">
      <alignment horizontal="left" vertical="top" wrapText="1"/>
      <protection locked="0"/>
    </xf>
    <xf numFmtId="3" fontId="1" fillId="10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10" borderId="0" xfId="1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5" borderId="28" xfId="0" applyFont="1" applyFill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6" fillId="6" borderId="27" xfId="0" applyFont="1" applyFill="1" applyBorder="1" applyAlignment="1" applyProtection="1">
      <alignment vertical="center"/>
      <protection locked="0"/>
    </xf>
    <xf numFmtId="0" fontId="6" fillId="6" borderId="28" xfId="0" applyFont="1" applyFill="1" applyBorder="1" applyAlignment="1" applyProtection="1">
      <alignment vertical="center"/>
      <protection locked="0"/>
    </xf>
    <xf numFmtId="0" fontId="6" fillId="5" borderId="2" xfId="0" applyFont="1" applyFill="1" applyBorder="1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horizontal="left" vertical="center"/>
      <protection locked="0"/>
    </xf>
    <xf numFmtId="0" fontId="6" fillId="5" borderId="27" xfId="0" applyFont="1" applyFill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1" fillId="6" borderId="2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19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5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1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29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3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2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0" borderId="2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19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5" borderId="5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29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2" fillId="6" borderId="3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0" borderId="201" xfId="0" applyFont="1" applyFill="1" applyBorder="1" applyProtection="1">
      <protection locked="0"/>
    </xf>
    <xf numFmtId="0" fontId="2" fillId="40" borderId="202" xfId="0" applyFont="1" applyFill="1" applyBorder="1" applyAlignment="1" applyProtection="1">
      <alignment horizontal="left" vertical="top"/>
      <protection locked="0"/>
    </xf>
    <xf numFmtId="0" fontId="2" fillId="40" borderId="204" xfId="0" applyFont="1" applyFill="1" applyBorder="1" applyAlignment="1" applyProtection="1">
      <alignment horizontal="left" vertical="top"/>
      <protection locked="0"/>
    </xf>
    <xf numFmtId="0" fontId="1" fillId="40" borderId="198" xfId="0" applyFont="1" applyFill="1" applyBorder="1" applyProtection="1">
      <protection locked="0"/>
    </xf>
    <xf numFmtId="0" fontId="0" fillId="0" borderId="67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2" fillId="41" borderId="64" xfId="0" applyFont="1" applyFill="1" applyBorder="1" applyAlignment="1" applyProtection="1">
      <alignment horizontal="left" vertical="top"/>
      <protection locked="0"/>
    </xf>
    <xf numFmtId="0" fontId="2" fillId="41" borderId="193" xfId="0" applyFont="1" applyFill="1" applyBorder="1" applyAlignment="1" applyProtection="1">
      <alignment horizontal="left" vertical="top"/>
      <protection locked="0"/>
    </xf>
    <xf numFmtId="0" fontId="3" fillId="44" borderId="2" xfId="0" applyFont="1" applyFill="1" applyBorder="1" applyAlignment="1" applyProtection="1">
      <alignment horizontal="center" wrapText="1"/>
      <protection locked="0"/>
    </xf>
    <xf numFmtId="0" fontId="1" fillId="41" borderId="64" xfId="0" applyFont="1" applyFill="1" applyBorder="1" applyAlignment="1" applyProtection="1">
      <alignment horizontal="right" wrapText="1"/>
      <protection locked="0"/>
    </xf>
    <xf numFmtId="0" fontId="3" fillId="7" borderId="25" xfId="0" applyFont="1" applyFill="1" applyBorder="1" applyAlignment="1" applyProtection="1">
      <alignment horizontal="right" vertical="center" wrapText="1"/>
      <protection locked="0"/>
    </xf>
    <xf numFmtId="0" fontId="1" fillId="41" borderId="189" xfId="0" applyFont="1" applyFill="1" applyBorder="1" applyAlignment="1" applyProtection="1">
      <alignment horizontal="right" wrapText="1"/>
      <protection locked="0"/>
    </xf>
    <xf numFmtId="0" fontId="1" fillId="43" borderId="20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43" borderId="5" xfId="0" applyFont="1" applyFill="1" applyBorder="1" applyAlignment="1" applyProtection="1">
      <alignment horizontal="center" wrapText="1"/>
      <protection locked="0"/>
    </xf>
    <xf numFmtId="0" fontId="3" fillId="0" borderId="57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1" fillId="41" borderId="61" xfId="0" applyFont="1" applyFill="1" applyBorder="1" applyAlignment="1" applyProtection="1">
      <alignment horizontal="right" wrapText="1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0" fontId="6" fillId="14" borderId="174" xfId="0" applyFont="1" applyFill="1" applyBorder="1" applyAlignment="1" applyProtection="1">
      <alignment horizontal="center" vertical="top" wrapText="1"/>
      <protection locked="0"/>
    </xf>
    <xf numFmtId="0" fontId="6" fillId="14" borderId="2" xfId="0" applyFont="1" applyFill="1" applyBorder="1" applyAlignment="1" applyProtection="1">
      <alignment horizontal="center" vertical="top" wrapText="1"/>
      <protection locked="0"/>
    </xf>
    <xf numFmtId="0" fontId="6" fillId="14" borderId="3" xfId="0" applyFont="1" applyFill="1" applyBorder="1" applyAlignment="1" applyProtection="1">
      <alignment horizontal="center" vertical="top" wrapText="1"/>
      <protection locked="0"/>
    </xf>
    <xf numFmtId="0" fontId="6" fillId="14" borderId="57" xfId="0" applyFont="1" applyFill="1" applyBorder="1" applyAlignment="1" applyProtection="1">
      <alignment horizontal="center" vertical="top" wrapText="1"/>
      <protection locked="0"/>
    </xf>
    <xf numFmtId="0" fontId="6" fillId="14" borderId="5" xfId="0" applyFont="1" applyFill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 applyProtection="1">
      <alignment horizontal="right" vertical="center" wrapText="1"/>
      <protection locked="0"/>
    </xf>
    <xf numFmtId="0" fontId="1" fillId="41" borderId="163" xfId="0" applyFont="1" applyFill="1" applyBorder="1" applyAlignment="1" applyProtection="1">
      <alignment horizontal="right" wrapText="1"/>
      <protection locked="0"/>
    </xf>
    <xf numFmtId="0" fontId="3" fillId="43" borderId="20" xfId="0" applyFont="1" applyFill="1" applyBorder="1" applyAlignment="1" applyProtection="1">
      <alignment horizontal="left" wrapText="1"/>
      <protection locked="0"/>
    </xf>
    <xf numFmtId="0" fontId="19" fillId="43" borderId="5" xfId="0" applyFont="1" applyFill="1" applyBorder="1" applyAlignment="1" applyProtection="1">
      <alignment horizontal="center" wrapText="1"/>
      <protection locked="0"/>
    </xf>
    <xf numFmtId="0" fontId="1" fillId="44" borderId="2" xfId="0" applyFont="1" applyFill="1" applyBorder="1" applyAlignment="1" applyProtection="1">
      <alignment horizontal="center" wrapText="1"/>
      <protection locked="0"/>
    </xf>
    <xf numFmtId="0" fontId="3" fillId="9" borderId="5" xfId="0" applyFont="1" applyFill="1" applyBorder="1" applyAlignment="1" applyProtection="1">
      <alignment horizontal="center" wrapText="1"/>
      <protection locked="0"/>
    </xf>
    <xf numFmtId="0" fontId="3" fillId="2" borderId="171" xfId="0" applyFont="1" applyFill="1" applyBorder="1" applyAlignment="1" applyProtection="1">
      <alignment horizontal="right" wrapText="1"/>
      <protection locked="0"/>
    </xf>
    <xf numFmtId="0" fontId="3" fillId="0" borderId="174" xfId="0" applyFont="1" applyBorder="1" applyAlignment="1" applyProtection="1">
      <alignment horizontal="center" vertical="center" wrapText="1"/>
      <protection locked="0"/>
    </xf>
    <xf numFmtId="0" fontId="3" fillId="0" borderId="174" xfId="0" applyFont="1" applyBorder="1" applyAlignment="1" applyProtection="1">
      <alignment horizontal="center" wrapText="1"/>
      <protection locked="0"/>
    </xf>
    <xf numFmtId="0" fontId="6" fillId="0" borderId="174" xfId="0" applyFont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57" xfId="0" applyFont="1" applyBorder="1" applyAlignment="1" applyProtection="1">
      <alignment horizontal="center" wrapText="1"/>
      <protection locked="0"/>
    </xf>
    <xf numFmtId="0" fontId="3" fillId="2" borderId="32" xfId="0" applyFont="1" applyFill="1" applyBorder="1" applyAlignment="1" applyProtection="1">
      <alignment wrapText="1"/>
      <protection locked="0"/>
    </xf>
    <xf numFmtId="0" fontId="19" fillId="43" borderId="82" xfId="0" applyFont="1" applyFill="1" applyBorder="1" applyAlignment="1" applyProtection="1">
      <alignment horizontal="center" vertical="center" wrapText="1"/>
      <protection locked="0"/>
    </xf>
    <xf numFmtId="0" fontId="5" fillId="7" borderId="84" xfId="0" applyFont="1" applyFill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0" fontId="1" fillId="0" borderId="85" xfId="0" applyFont="1" applyBorder="1" applyAlignment="1" applyProtection="1">
      <alignment horizontal="center"/>
      <protection locked="0"/>
    </xf>
    <xf numFmtId="0" fontId="1" fillId="0" borderId="82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86" xfId="0" applyFont="1" applyBorder="1" applyAlignment="1" applyProtection="1">
      <alignment horizontal="center"/>
      <protection locked="0"/>
    </xf>
    <xf numFmtId="0" fontId="1" fillId="41" borderId="83" xfId="0" applyFont="1" applyFill="1" applyBorder="1" applyAlignment="1" applyProtection="1">
      <alignment horizontal="right" wrapText="1"/>
      <protection locked="0"/>
    </xf>
    <xf numFmtId="0" fontId="1" fillId="2" borderId="81" xfId="0" applyFont="1" applyFill="1" applyBorder="1" applyAlignment="1" applyProtection="1">
      <alignment horizontal="right" wrapText="1"/>
      <protection locked="0"/>
    </xf>
    <xf numFmtId="0" fontId="4" fillId="10" borderId="175" xfId="0" applyFont="1" applyFill="1" applyBorder="1" applyAlignment="1" applyProtection="1">
      <alignment horizontal="center" wrapText="1"/>
      <protection locked="0"/>
    </xf>
    <xf numFmtId="0" fontId="4" fillId="10" borderId="59" xfId="0" applyFont="1" applyFill="1" applyBorder="1" applyAlignment="1" applyProtection="1">
      <alignment horizontal="center" wrapText="1"/>
      <protection locked="0"/>
    </xf>
    <xf numFmtId="0" fontId="4" fillId="10" borderId="80" xfId="0" applyFont="1" applyFill="1" applyBorder="1" applyAlignment="1" applyProtection="1">
      <alignment horizontal="center" wrapText="1"/>
      <protection locked="0"/>
    </xf>
    <xf numFmtId="0" fontId="4" fillId="10" borderId="85" xfId="0" applyFont="1" applyFill="1" applyBorder="1" applyAlignment="1" applyProtection="1">
      <alignment horizontal="center" wrapText="1"/>
      <protection locked="0"/>
    </xf>
    <xf numFmtId="0" fontId="4" fillId="10" borderId="82" xfId="0" applyFont="1" applyFill="1" applyBorder="1" applyAlignment="1" applyProtection="1">
      <alignment horizontal="center" wrapText="1"/>
      <protection locked="0"/>
    </xf>
    <xf numFmtId="0" fontId="3" fillId="2" borderId="187" xfId="0" applyFont="1" applyFill="1" applyBorder="1" applyAlignment="1" applyProtection="1">
      <alignment horizontal="right" wrapText="1"/>
      <protection locked="0"/>
    </xf>
    <xf numFmtId="0" fontId="1" fillId="0" borderId="175" xfId="0" applyFont="1" applyBorder="1" applyAlignment="1" applyProtection="1">
      <alignment horizontal="center"/>
      <protection locked="0"/>
    </xf>
    <xf numFmtId="5" fontId="1" fillId="0" borderId="80" xfId="0" applyNumberFormat="1" applyFont="1" applyBorder="1" applyAlignment="1" applyProtection="1">
      <alignment horizontal="right" wrapText="1"/>
      <protection locked="0"/>
    </xf>
    <xf numFmtId="0" fontId="1" fillId="41" borderId="190" xfId="0" applyFont="1" applyFill="1" applyBorder="1" applyAlignment="1" applyProtection="1">
      <alignment horizontal="right" wrapText="1"/>
      <protection locked="0"/>
    </xf>
    <xf numFmtId="0" fontId="2" fillId="43" borderId="197" xfId="0" applyFont="1" applyFill="1" applyBorder="1" applyAlignment="1" applyProtection="1">
      <alignment horizontal="left" wrapText="1"/>
      <protection locked="0"/>
    </xf>
    <xf numFmtId="0" fontId="0" fillId="6" borderId="5" xfId="0" applyFill="1" applyBorder="1" applyAlignment="1" applyProtection="1">
      <alignment vertical="center" wrapText="1"/>
      <protection locked="0"/>
    </xf>
    <xf numFmtId="0" fontId="0" fillId="6" borderId="2" xfId="0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5" borderId="30" xfId="0" applyFill="1" applyBorder="1" applyAlignment="1" applyProtection="1">
      <alignment vertical="center" wrapText="1"/>
      <protection locked="0"/>
    </xf>
    <xf numFmtId="0" fontId="0" fillId="5" borderId="27" xfId="0" applyFill="1" applyBorder="1" applyAlignment="1" applyProtection="1">
      <alignment vertical="center" wrapText="1"/>
      <protection locked="0"/>
    </xf>
    <xf numFmtId="1" fontId="5" fillId="7" borderId="173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5" borderId="5" xfId="0" applyFill="1" applyBorder="1" applyAlignment="1" applyProtection="1">
      <alignment vertical="center" wrapText="1"/>
      <protection locked="0"/>
    </xf>
    <xf numFmtId="0" fontId="0" fillId="5" borderId="2" xfId="0" applyFill="1" applyBorder="1" applyAlignment="1" applyProtection="1">
      <alignment vertical="center" wrapText="1"/>
      <protection locked="0"/>
    </xf>
    <xf numFmtId="0" fontId="0" fillId="6" borderId="30" xfId="0" applyFill="1" applyBorder="1" applyAlignment="1" applyProtection="1">
      <alignment vertical="center" wrapText="1"/>
      <protection locked="0"/>
    </xf>
    <xf numFmtId="0" fontId="0" fillId="6" borderId="27" xfId="0" applyFill="1" applyBorder="1" applyAlignment="1" applyProtection="1">
      <alignment vertical="center" wrapText="1"/>
      <protection locked="0"/>
    </xf>
    <xf numFmtId="0" fontId="3" fillId="7" borderId="13" xfId="0" applyFont="1" applyFill="1" applyBorder="1" applyAlignment="1" applyProtection="1">
      <alignment vertical="center"/>
      <protection locked="0"/>
    </xf>
    <xf numFmtId="0" fontId="0" fillId="9" borderId="0" xfId="0" applyFill="1" applyProtection="1">
      <protection locked="0"/>
    </xf>
    <xf numFmtId="0" fontId="3" fillId="7" borderId="32" xfId="0" applyFont="1" applyFill="1" applyBorder="1" applyAlignment="1" applyProtection="1">
      <alignment horizontal="left" vertical="center" wrapText="1"/>
      <protection locked="0"/>
    </xf>
    <xf numFmtId="1" fontId="5" fillId="43" borderId="25" xfId="0" applyNumberFormat="1" applyFont="1" applyFill="1" applyBorder="1" applyAlignment="1" applyProtection="1">
      <alignment horizontal="center" vertical="center"/>
      <protection locked="0"/>
    </xf>
    <xf numFmtId="0" fontId="1" fillId="44" borderId="13" xfId="0" applyFont="1" applyFill="1" applyBorder="1" applyAlignment="1" applyProtection="1">
      <alignment horizontal="center" vertical="center"/>
      <protection locked="0"/>
    </xf>
    <xf numFmtId="0" fontId="1" fillId="44" borderId="21" xfId="0" applyFont="1" applyFill="1" applyBorder="1" applyAlignment="1" applyProtection="1">
      <alignment horizontal="center" vertical="center"/>
      <protection locked="0"/>
    </xf>
    <xf numFmtId="0" fontId="1" fillId="44" borderId="10" xfId="0" applyFont="1" applyFill="1" applyBorder="1" applyAlignment="1" applyProtection="1">
      <alignment horizontal="center" vertical="center"/>
      <protection locked="0"/>
    </xf>
    <xf numFmtId="0" fontId="3" fillId="44" borderId="13" xfId="0" applyFont="1" applyFill="1" applyBorder="1" applyAlignment="1" applyProtection="1">
      <alignment horizontal="left" vertical="center"/>
      <protection locked="0"/>
    </xf>
    <xf numFmtId="0" fontId="3" fillId="44" borderId="33" xfId="0" applyFont="1" applyFill="1" applyBorder="1" applyAlignment="1" applyProtection="1">
      <alignment horizontal="left" vertical="center" wrapText="1"/>
      <protection locked="0"/>
    </xf>
    <xf numFmtId="0" fontId="3" fillId="40" borderId="66" xfId="0" applyFont="1" applyFill="1" applyBorder="1" applyAlignment="1" applyProtection="1">
      <alignment horizontal="left" vertical="center" wrapText="1"/>
      <protection locked="0"/>
    </xf>
    <xf numFmtId="0" fontId="3" fillId="7" borderId="33" xfId="0" applyFont="1" applyFill="1" applyBorder="1" applyAlignment="1" applyProtection="1">
      <alignment horizontal="left" vertical="center" wrapText="1"/>
      <protection locked="0"/>
    </xf>
    <xf numFmtId="0" fontId="3" fillId="7" borderId="179" xfId="0" applyFont="1" applyFill="1" applyBorder="1" applyAlignment="1" applyProtection="1">
      <alignment horizontal="right" vertical="center" wrapText="1"/>
      <protection locked="0"/>
    </xf>
    <xf numFmtId="0" fontId="3" fillId="7" borderId="13" xfId="0" applyFont="1" applyFill="1" applyBorder="1" applyAlignment="1" applyProtection="1">
      <alignment horizontal="right" vertical="center" wrapText="1"/>
      <protection locked="0"/>
    </xf>
    <xf numFmtId="0" fontId="3" fillId="7" borderId="32" xfId="0" applyFont="1" applyFill="1" applyBorder="1" applyAlignment="1" applyProtection="1">
      <alignment horizontal="right" vertical="center" wrapText="1"/>
      <protection locked="0"/>
    </xf>
    <xf numFmtId="0" fontId="3" fillId="7" borderId="183" xfId="0" applyFont="1" applyFill="1" applyBorder="1" applyAlignment="1" applyProtection="1">
      <alignment horizontal="right" vertical="center" wrapText="1"/>
      <protection locked="0"/>
    </xf>
    <xf numFmtId="0" fontId="3" fillId="7" borderId="33" xfId="0" applyFont="1" applyFill="1" applyBorder="1" applyAlignment="1" applyProtection="1">
      <alignment horizontal="right" vertical="center" wrapText="1"/>
      <protection locked="0"/>
    </xf>
    <xf numFmtId="0" fontId="1" fillId="7" borderId="179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32" xfId="0" applyFont="1" applyFill="1" applyBorder="1" applyAlignment="1" applyProtection="1">
      <alignment horizontal="center" vertical="center"/>
      <protection locked="0"/>
    </xf>
    <xf numFmtId="0" fontId="1" fillId="7" borderId="183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5" fontId="1" fillId="7" borderId="32" xfId="0" applyNumberFormat="1" applyFont="1" applyFill="1" applyBorder="1" applyAlignment="1" applyProtection="1">
      <alignment horizontal="right" vertical="center" wrapText="1"/>
      <protection locked="0"/>
    </xf>
    <xf numFmtId="0" fontId="3" fillId="40" borderId="193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2" fillId="40" borderId="164" xfId="0" applyFont="1" applyFill="1" applyBorder="1" applyProtection="1">
      <protection locked="0"/>
    </xf>
    <xf numFmtId="0" fontId="2" fillId="40" borderId="203" xfId="0" applyFont="1" applyFill="1" applyBorder="1" applyAlignment="1" applyProtection="1">
      <alignment horizontal="left" vertical="top"/>
      <protection locked="0"/>
    </xf>
    <xf numFmtId="0" fontId="2" fillId="40" borderId="206" xfId="0" applyFont="1" applyFill="1" applyBorder="1" applyAlignment="1" applyProtection="1">
      <alignment horizontal="left" vertical="top"/>
      <protection locked="0"/>
    </xf>
    <xf numFmtId="0" fontId="1" fillId="40" borderId="166" xfId="0" applyFont="1" applyFill="1" applyBorder="1" applyProtection="1">
      <protection locked="0"/>
    </xf>
    <xf numFmtId="0" fontId="0" fillId="0" borderId="196" xfId="0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Protection="1">
      <protection locked="0"/>
    </xf>
    <xf numFmtId="173" fontId="7" fillId="0" borderId="0" xfId="0" applyNumberFormat="1" applyFont="1" applyAlignment="1" applyProtection="1">
      <alignment horizontal="center" wrapText="1"/>
      <protection locked="0"/>
    </xf>
    <xf numFmtId="0" fontId="0" fillId="0" borderId="194" xfId="0" applyBorder="1" applyAlignment="1" applyProtection="1">
      <alignment wrapText="1"/>
      <protection locked="0"/>
    </xf>
    <xf numFmtId="0" fontId="0" fillId="0" borderId="65" xfId="0" applyBorder="1" applyAlignment="1" applyProtection="1">
      <alignment wrapText="1"/>
      <protection locked="0"/>
    </xf>
    <xf numFmtId="0" fontId="0" fillId="7" borderId="65" xfId="0" applyFill="1" applyBorder="1" applyAlignment="1" applyProtection="1">
      <alignment wrapText="1"/>
      <protection locked="0"/>
    </xf>
    <xf numFmtId="0" fontId="0" fillId="7" borderId="0" xfId="0" applyFill="1" applyAlignment="1" applyProtection="1">
      <alignment wrapText="1"/>
      <protection locked="0"/>
    </xf>
    <xf numFmtId="0" fontId="0" fillId="7" borderId="194" xfId="0" applyFill="1" applyBorder="1" applyAlignment="1" applyProtection="1">
      <alignment wrapText="1"/>
      <protection locked="0"/>
    </xf>
    <xf numFmtId="0" fontId="0" fillId="9" borderId="0" xfId="0" applyFill="1" applyAlignment="1" applyProtection="1">
      <alignment wrapText="1"/>
      <protection locked="0"/>
    </xf>
    <xf numFmtId="0" fontId="0" fillId="9" borderId="65" xfId="0" applyFill="1" applyBorder="1" applyAlignment="1" applyProtection="1">
      <alignment wrapText="1"/>
      <protection locked="0"/>
    </xf>
    <xf numFmtId="0" fontId="0" fillId="9" borderId="194" xfId="0" applyFill="1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right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180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184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24" fillId="3" borderId="23" xfId="0" applyNumberFormat="1" applyFont="1" applyFill="1" applyBorder="1" applyAlignment="1">
      <alignment horizontal="right" vertical="top" wrapText="1"/>
    </xf>
    <xf numFmtId="164" fontId="24" fillId="4" borderId="3" xfId="0" applyNumberFormat="1" applyFont="1" applyFill="1" applyBorder="1" applyAlignment="1">
      <alignment horizontal="right" vertical="top" wrapText="1"/>
    </xf>
    <xf numFmtId="169" fontId="7" fillId="12" borderId="3" xfId="0" applyNumberFormat="1" applyFont="1" applyFill="1" applyBorder="1" applyAlignment="1">
      <alignment horizontal="center" vertical="center"/>
    </xf>
    <xf numFmtId="169" fontId="7" fillId="12" borderId="14" xfId="0" applyNumberFormat="1" applyFont="1" applyFill="1" applyBorder="1" applyAlignment="1">
      <alignment horizontal="center" vertical="center"/>
    </xf>
    <xf numFmtId="1" fontId="5" fillId="43" borderId="30" xfId="0" applyNumberFormat="1" applyFont="1" applyFill="1" applyBorder="1" applyAlignment="1">
      <alignment horizontal="center" vertical="center"/>
    </xf>
    <xf numFmtId="0" fontId="1" fillId="2" borderId="17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74" xfId="0" applyFont="1" applyFill="1" applyBorder="1" applyAlignment="1">
      <alignment horizontal="center" wrapText="1"/>
    </xf>
    <xf numFmtId="0" fontId="5" fillId="2" borderId="57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67" fontId="5" fillId="2" borderId="174" xfId="0" applyNumberFormat="1" applyFont="1" applyFill="1" applyBorder="1" applyAlignment="1">
      <alignment horizontal="center" wrapText="1"/>
    </xf>
    <xf numFmtId="167" fontId="5" fillId="2" borderId="2" xfId="0" applyNumberFormat="1" applyFont="1" applyFill="1" applyBorder="1" applyAlignment="1">
      <alignment horizontal="center" wrapText="1"/>
    </xf>
    <xf numFmtId="167" fontId="5" fillId="2" borderId="3" xfId="0" applyNumberFormat="1" applyFont="1" applyFill="1" applyBorder="1" applyAlignment="1">
      <alignment horizontal="center" wrapText="1"/>
    </xf>
    <xf numFmtId="167" fontId="5" fillId="2" borderId="57" xfId="0" applyNumberFormat="1" applyFont="1" applyFill="1" applyBorder="1" applyAlignment="1">
      <alignment horizontal="center" wrapText="1"/>
    </xf>
    <xf numFmtId="167" fontId="5" fillId="2" borderId="5" xfId="0" applyNumberFormat="1" applyFont="1" applyFill="1" applyBorder="1" applyAlignment="1">
      <alignment horizontal="center" wrapText="1"/>
    </xf>
    <xf numFmtId="166" fontId="5" fillId="2" borderId="174" xfId="0" applyNumberFormat="1" applyFont="1" applyFill="1" applyBorder="1" applyAlignment="1">
      <alignment horizontal="center" wrapText="1"/>
    </xf>
    <xf numFmtId="166" fontId="5" fillId="2" borderId="2" xfId="0" applyNumberFormat="1" applyFont="1" applyFill="1" applyBorder="1" applyAlignment="1">
      <alignment horizontal="center" wrapText="1"/>
    </xf>
    <xf numFmtId="166" fontId="5" fillId="2" borderId="3" xfId="0" applyNumberFormat="1" applyFont="1" applyFill="1" applyBorder="1" applyAlignment="1">
      <alignment horizontal="center" wrapText="1"/>
    </xf>
    <xf numFmtId="166" fontId="5" fillId="2" borderId="57" xfId="0" applyNumberFormat="1" applyFont="1" applyFill="1" applyBorder="1" applyAlignment="1">
      <alignment horizontal="center" wrapText="1"/>
    </xf>
    <xf numFmtId="166" fontId="5" fillId="2" borderId="5" xfId="0" applyNumberFormat="1" applyFont="1" applyFill="1" applyBorder="1" applyAlignment="1">
      <alignment horizontal="center" wrapText="1"/>
    </xf>
    <xf numFmtId="1" fontId="5" fillId="7" borderId="171" xfId="0" applyNumberFormat="1" applyFont="1" applyFill="1" applyBorder="1" applyAlignment="1">
      <alignment horizontal="center" vertical="center"/>
    </xf>
    <xf numFmtId="1" fontId="5" fillId="7" borderId="172" xfId="0" applyNumberFormat="1" applyFont="1" applyFill="1" applyBorder="1" applyAlignment="1">
      <alignment horizontal="center" vertical="center"/>
    </xf>
    <xf numFmtId="1" fontId="5" fillId="7" borderId="173" xfId="0" applyNumberFormat="1" applyFont="1" applyFill="1" applyBorder="1" applyAlignment="1">
      <alignment horizontal="center" vertical="center"/>
    </xf>
    <xf numFmtId="1" fontId="5" fillId="7" borderId="173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" fontId="5" fillId="7" borderId="171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43" borderId="11" xfId="0" applyFont="1" applyFill="1" applyBorder="1" applyAlignment="1">
      <alignment horizontal="center" wrapText="1"/>
    </xf>
    <xf numFmtId="0" fontId="5" fillId="43" borderId="12" xfId="0" applyFont="1" applyFill="1" applyBorder="1" applyAlignment="1">
      <alignment horizontal="center" wrapText="1"/>
    </xf>
    <xf numFmtId="0" fontId="5" fillId="43" borderId="18" xfId="0" applyFont="1" applyFill="1" applyBorder="1" applyAlignment="1">
      <alignment horizontal="center" wrapText="1"/>
    </xf>
    <xf numFmtId="0" fontId="5" fillId="43" borderId="11" xfId="0" applyFont="1" applyFill="1" applyBorder="1" applyAlignment="1">
      <alignment horizontal="center"/>
    </xf>
    <xf numFmtId="0" fontId="5" fillId="43" borderId="12" xfId="0" applyFont="1" applyFill="1" applyBorder="1" applyAlignment="1">
      <alignment horizontal="center"/>
    </xf>
    <xf numFmtId="0" fontId="5" fillId="43" borderId="18" xfId="0" applyFont="1" applyFill="1" applyBorder="1" applyAlignment="1">
      <alignment horizontal="center"/>
    </xf>
    <xf numFmtId="0" fontId="7" fillId="43" borderId="89" xfId="0" applyFont="1" applyFill="1" applyBorder="1" applyAlignment="1">
      <alignment horizontal="center"/>
    </xf>
    <xf numFmtId="0" fontId="7" fillId="43" borderId="87" xfId="0" applyFont="1" applyFill="1" applyBorder="1" applyAlignment="1">
      <alignment horizontal="center"/>
    </xf>
    <xf numFmtId="0" fontId="7" fillId="43" borderId="88" xfId="0" applyFont="1" applyFill="1" applyBorder="1" applyAlignment="1">
      <alignment horizontal="center"/>
    </xf>
    <xf numFmtId="0" fontId="0" fillId="0" borderId="201" xfId="0" applyBorder="1" applyAlignment="1" applyProtection="1">
      <alignment wrapText="1"/>
      <protection locked="0"/>
    </xf>
    <xf numFmtId="0" fontId="0" fillId="7" borderId="0" xfId="0" applyFill="1" applyAlignment="1">
      <alignment wrapText="1"/>
    </xf>
    <xf numFmtId="0" fontId="5" fillId="7" borderId="180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184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0" fillId="7" borderId="6" xfId="0" applyFill="1" applyBorder="1" applyAlignment="1">
      <alignment wrapText="1"/>
    </xf>
    <xf numFmtId="0" fontId="0" fillId="7" borderId="180" xfId="0" applyFill="1" applyBorder="1" applyAlignment="1">
      <alignment wrapText="1"/>
    </xf>
    <xf numFmtId="0" fontId="0" fillId="7" borderId="12" xfId="0" applyFill="1" applyBorder="1" applyAlignment="1">
      <alignment wrapText="1"/>
    </xf>
    <xf numFmtId="0" fontId="0" fillId="7" borderId="20" xfId="0" applyFill="1" applyBorder="1" applyAlignment="1">
      <alignment wrapText="1"/>
    </xf>
    <xf numFmtId="0" fontId="0" fillId="7" borderId="184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0" fillId="9" borderId="0" xfId="0" applyFill="1" applyAlignment="1">
      <alignment wrapText="1"/>
    </xf>
    <xf numFmtId="0" fontId="0" fillId="9" borderId="180" xfId="0" applyFill="1" applyBorder="1" applyAlignment="1">
      <alignment wrapText="1"/>
    </xf>
    <xf numFmtId="0" fontId="0" fillId="9" borderId="12" xfId="0" applyFill="1" applyBorder="1" applyAlignment="1">
      <alignment wrapText="1"/>
    </xf>
    <xf numFmtId="0" fontId="0" fillId="9" borderId="20" xfId="0" applyFill="1" applyBorder="1" applyAlignment="1">
      <alignment wrapText="1"/>
    </xf>
    <xf numFmtId="0" fontId="0" fillId="9" borderId="184" xfId="0" applyFill="1" applyBorder="1" applyAlignment="1">
      <alignment wrapText="1"/>
    </xf>
    <xf numFmtId="0" fontId="0" fillId="9" borderId="6" xfId="0" applyFill="1" applyBorder="1" applyAlignment="1">
      <alignment wrapText="1"/>
    </xf>
    <xf numFmtId="0" fontId="0" fillId="9" borderId="11" xfId="0" applyFill="1" applyBorder="1" applyAlignment="1">
      <alignment wrapText="1"/>
    </xf>
    <xf numFmtId="0" fontId="0" fillId="44" borderId="0" xfId="0" applyFill="1" applyAlignment="1">
      <alignment horizontal="center" wrapText="1"/>
    </xf>
    <xf numFmtId="0" fontId="0" fillId="44" borderId="11" xfId="0" applyFill="1" applyBorder="1" applyAlignment="1">
      <alignment horizontal="center" wrapText="1"/>
    </xf>
    <xf numFmtId="0" fontId="0" fillId="44" borderId="18" xfId="0" applyFill="1" applyBorder="1" applyAlignment="1">
      <alignment horizontal="center" wrapText="1"/>
    </xf>
    <xf numFmtId="0" fontId="0" fillId="44" borderId="7" xfId="0" applyFill="1" applyBorder="1" applyAlignment="1">
      <alignment wrapText="1"/>
    </xf>
    <xf numFmtId="1" fontId="1" fillId="44" borderId="10" xfId="0" applyNumberFormat="1" applyFont="1" applyFill="1" applyBorder="1" applyAlignment="1" applyProtection="1">
      <alignment horizontal="center" vertical="center"/>
      <protection locked="0"/>
    </xf>
    <xf numFmtId="1" fontId="1" fillId="44" borderId="13" xfId="0" applyNumberFormat="1" applyFont="1" applyFill="1" applyBorder="1" applyAlignment="1" applyProtection="1">
      <alignment horizontal="center" vertical="center"/>
      <protection locked="0"/>
    </xf>
    <xf numFmtId="1" fontId="1" fillId="44" borderId="21" xfId="0" applyNumberFormat="1" applyFont="1" applyFill="1" applyBorder="1" applyAlignment="1" applyProtection="1">
      <alignment horizontal="center" vertical="center"/>
      <protection locked="0"/>
    </xf>
    <xf numFmtId="0" fontId="1" fillId="44" borderId="10" xfId="0" applyFont="1" applyFill="1" applyBorder="1" applyAlignment="1" applyProtection="1">
      <alignment horizontal="center" vertical="center" wrapText="1"/>
      <protection locked="0"/>
    </xf>
    <xf numFmtId="0" fontId="1" fillId="44" borderId="13" xfId="0" applyFont="1" applyFill="1" applyBorder="1" applyAlignment="1" applyProtection="1">
      <alignment horizontal="center" vertical="center" wrapText="1"/>
      <protection locked="0"/>
    </xf>
    <xf numFmtId="0" fontId="3" fillId="44" borderId="32" xfId="0" applyFont="1" applyFill="1" applyBorder="1" applyAlignment="1" applyProtection="1">
      <alignment horizontal="left" vertical="center" wrapText="1"/>
      <protection locked="0"/>
    </xf>
    <xf numFmtId="0" fontId="0" fillId="44" borderId="0" xfId="0" applyFill="1" applyAlignment="1">
      <alignment wrapText="1"/>
    </xf>
    <xf numFmtId="0" fontId="5" fillId="44" borderId="0" xfId="0" applyFont="1" applyFill="1" applyAlignment="1">
      <alignment horizontal="center" vertical="center" wrapText="1"/>
    </xf>
    <xf numFmtId="0" fontId="5" fillId="44" borderId="17" xfId="0" applyFont="1" applyFill="1" applyBorder="1" applyAlignment="1">
      <alignment horizontal="center" vertical="center" wrapText="1"/>
    </xf>
    <xf numFmtId="0" fontId="0" fillId="44" borderId="11" xfId="0" applyFill="1" applyBorder="1" applyAlignment="1">
      <alignment horizontal="right" wrapText="1"/>
    </xf>
    <xf numFmtId="0" fontId="0" fillId="44" borderId="0" xfId="0" applyFill="1" applyAlignment="1">
      <alignment horizontal="right" wrapText="1"/>
    </xf>
    <xf numFmtId="0" fontId="14" fillId="44" borderId="0" xfId="0" applyFont="1" applyFill="1" applyAlignment="1">
      <alignment horizontal="left" wrapText="1"/>
    </xf>
    <xf numFmtId="0" fontId="14" fillId="44" borderId="17" xfId="0" applyFont="1" applyFill="1" applyBorder="1" applyAlignment="1">
      <alignment horizontal="left" wrapText="1"/>
    </xf>
    <xf numFmtId="0" fontId="14" fillId="44" borderId="0" xfId="0" applyFont="1" applyFill="1" applyAlignment="1">
      <alignment wrapText="1"/>
    </xf>
    <xf numFmtId="0" fontId="14" fillId="44" borderId="0" xfId="0" applyFont="1" applyFill="1" applyAlignment="1">
      <alignment horizontal="center" wrapText="1"/>
    </xf>
    <xf numFmtId="3" fontId="22" fillId="9" borderId="23" xfId="0" applyNumberFormat="1" applyFont="1" applyFill="1" applyBorder="1" applyAlignment="1">
      <alignment horizontal="center" vertical="center" wrapText="1"/>
    </xf>
    <xf numFmtId="164" fontId="22" fillId="4" borderId="3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left" wrapText="1"/>
    </xf>
    <xf numFmtId="164" fontId="23" fillId="9" borderId="3" xfId="0" applyNumberFormat="1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1" fillId="0" borderId="0" xfId="0" applyFont="1" applyAlignment="1" applyProtection="1">
      <alignment wrapText="1"/>
      <protection locked="0"/>
    </xf>
    <xf numFmtId="164" fontId="5" fillId="0" borderId="0" xfId="0" applyNumberFormat="1" applyFont="1" applyAlignment="1" applyProtection="1">
      <alignment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0" xfId="0" applyFont="1" applyAlignment="1">
      <alignment wrapText="1"/>
    </xf>
    <xf numFmtId="0" fontId="4" fillId="0" borderId="160" xfId="0" applyFont="1" applyBorder="1" applyAlignment="1">
      <alignment wrapText="1"/>
    </xf>
    <xf numFmtId="0" fontId="0" fillId="0" borderId="161" xfId="0" applyBorder="1" applyAlignment="1">
      <alignment wrapText="1"/>
    </xf>
    <xf numFmtId="0" fontId="0" fillId="0" borderId="162" xfId="0" applyBorder="1" applyAlignment="1">
      <alignment wrapText="1"/>
    </xf>
    <xf numFmtId="0" fontId="1" fillId="0" borderId="0" xfId="0" quotePrefix="1" applyFont="1"/>
    <xf numFmtId="0" fontId="1" fillId="0" borderId="160" xfId="0" quotePrefix="1" applyFont="1" applyBorder="1"/>
    <xf numFmtId="0" fontId="4" fillId="0" borderId="61" xfId="0" applyFont="1" applyBorder="1" applyAlignment="1">
      <alignment wrapText="1"/>
    </xf>
    <xf numFmtId="0" fontId="4" fillId="0" borderId="2" xfId="0" applyFont="1" applyBorder="1"/>
    <xf numFmtId="0" fontId="4" fillId="0" borderId="163" xfId="0" applyFont="1" applyBorder="1"/>
    <xf numFmtId="0" fontId="1" fillId="0" borderId="0" xfId="0" applyFont="1"/>
    <xf numFmtId="0" fontId="4" fillId="46" borderId="61" xfId="0" applyFont="1" applyFill="1" applyBorder="1"/>
    <xf numFmtId="0" fontId="1" fillId="0" borderId="2" xfId="0" applyFont="1" applyBorder="1"/>
    <xf numFmtId="0" fontId="0" fillId="0" borderId="163" xfId="0" applyBorder="1" applyAlignment="1">
      <alignment wrapText="1"/>
    </xf>
    <xf numFmtId="0" fontId="4" fillId="18" borderId="61" xfId="0" applyFont="1" applyFill="1" applyBorder="1" applyAlignment="1">
      <alignment wrapText="1"/>
    </xf>
    <xf numFmtId="0" fontId="57" fillId="39" borderId="61" xfId="0" applyFont="1" applyFill="1" applyBorder="1"/>
    <xf numFmtId="0" fontId="4" fillId="9" borderId="61" xfId="0" applyFont="1" applyFill="1" applyBorder="1" applyAlignment="1">
      <alignment wrapText="1"/>
    </xf>
    <xf numFmtId="0" fontId="1" fillId="19" borderId="61" xfId="0" applyFont="1" applyFill="1" applyBorder="1"/>
    <xf numFmtId="0" fontId="0" fillId="0" borderId="2" xfId="0" applyBorder="1"/>
    <xf numFmtId="0" fontId="7" fillId="0" borderId="61" xfId="0" applyFont="1" applyBorder="1" applyAlignment="1">
      <alignment wrapText="1"/>
    </xf>
    <xf numFmtId="0" fontId="4" fillId="34" borderId="61" xfId="0" applyFont="1" applyFill="1" applyBorder="1" applyAlignment="1">
      <alignment wrapText="1"/>
    </xf>
    <xf numFmtId="0" fontId="57" fillId="38" borderId="61" xfId="0" applyFont="1" applyFill="1" applyBorder="1"/>
    <xf numFmtId="0" fontId="4" fillId="35" borderId="61" xfId="0" applyFont="1" applyFill="1" applyBorder="1" applyAlignment="1">
      <alignment wrapText="1"/>
    </xf>
    <xf numFmtId="0" fontId="1" fillId="0" borderId="61" xfId="0" applyFont="1" applyBorder="1"/>
    <xf numFmtId="0" fontId="1" fillId="37" borderId="164" xfId="0" applyFont="1" applyFill="1" applyBorder="1" applyAlignment="1">
      <alignment wrapText="1"/>
    </xf>
    <xf numFmtId="0" fontId="1" fillId="0" borderId="165" xfId="0" applyFont="1" applyBorder="1"/>
    <xf numFmtId="0" fontId="1" fillId="0" borderId="166" xfId="0" applyFont="1" applyBorder="1"/>
    <xf numFmtId="49" fontId="1" fillId="0" borderId="0" xfId="0" applyNumberFormat="1" applyFont="1" applyAlignment="1">
      <alignment wrapText="1"/>
    </xf>
    <xf numFmtId="0" fontId="0" fillId="0" borderId="164" xfId="0" applyBorder="1"/>
    <xf numFmtId="0" fontId="0" fillId="0" borderId="165" xfId="0" applyBorder="1"/>
    <xf numFmtId="0" fontId="0" fillId="0" borderId="166" xfId="0" applyBorder="1" applyAlignment="1">
      <alignment wrapText="1"/>
    </xf>
    <xf numFmtId="0" fontId="0" fillId="0" borderId="0" xfId="0"/>
    <xf numFmtId="0" fontId="2" fillId="7" borderId="0" xfId="0" applyFont="1" applyFill="1"/>
    <xf numFmtId="0" fontId="48" fillId="19" borderId="48" xfId="0" applyFont="1" applyFill="1" applyBorder="1" applyAlignment="1">
      <alignment wrapText="1"/>
    </xf>
    <xf numFmtId="0" fontId="48" fillId="19" borderId="54" xfId="0" applyFont="1" applyFill="1" applyBorder="1" applyAlignment="1">
      <alignment wrapText="1"/>
    </xf>
    <xf numFmtId="0" fontId="48" fillId="19" borderId="51" xfId="0" applyFont="1" applyFill="1" applyBorder="1" applyAlignment="1">
      <alignment wrapText="1"/>
    </xf>
    <xf numFmtId="0" fontId="48" fillId="19" borderId="68" xfId="0" applyFont="1" applyFill="1" applyBorder="1" applyAlignment="1">
      <alignment wrapText="1"/>
    </xf>
    <xf numFmtId="0" fontId="48" fillId="15" borderId="48" xfId="0" applyFont="1" applyFill="1" applyBorder="1" applyAlignment="1">
      <alignment wrapText="1"/>
    </xf>
    <xf numFmtId="0" fontId="48" fillId="15" borderId="151" xfId="0" applyFont="1" applyFill="1" applyBorder="1" applyAlignment="1">
      <alignment wrapText="1"/>
    </xf>
    <xf numFmtId="0" fontId="48" fillId="15" borderId="152" xfId="0" applyFont="1" applyFill="1" applyBorder="1" applyAlignment="1">
      <alignment wrapText="1"/>
    </xf>
    <xf numFmtId="0" fontId="48" fillId="15" borderId="54" xfId="0" applyFont="1" applyFill="1" applyBorder="1" applyAlignment="1">
      <alignment wrapText="1"/>
    </xf>
    <xf numFmtId="0" fontId="48" fillId="15" borderId="51" xfId="0" applyFont="1" applyFill="1" applyBorder="1" applyAlignment="1">
      <alignment wrapText="1"/>
    </xf>
    <xf numFmtId="0" fontId="48" fillId="15" borderId="68" xfId="0" applyFont="1" applyFill="1" applyBorder="1" applyAlignment="1">
      <alignment wrapText="1"/>
    </xf>
    <xf numFmtId="0" fontId="1" fillId="0" borderId="49" xfId="0" applyFont="1" applyBorder="1" applyAlignment="1">
      <alignment wrapText="1"/>
    </xf>
    <xf numFmtId="0" fontId="18" fillId="0" borderId="49" xfId="1" applyBorder="1" applyAlignment="1" applyProtection="1">
      <alignment wrapText="1"/>
    </xf>
    <xf numFmtId="0" fontId="1" fillId="0" borderId="55" xfId="0" applyFont="1" applyBorder="1" applyAlignment="1">
      <alignment horizontal="center" wrapText="1"/>
    </xf>
    <xf numFmtId="0" fontId="1" fillId="0" borderId="52" xfId="0" applyFont="1" applyBorder="1" applyAlignment="1">
      <alignment horizontal="center" wrapText="1"/>
    </xf>
    <xf numFmtId="0" fontId="1" fillId="0" borderId="69" xfId="0" applyFont="1" applyBorder="1" applyAlignment="1">
      <alignment wrapText="1"/>
    </xf>
    <xf numFmtId="0" fontId="1" fillId="0" borderId="52" xfId="0" applyFont="1" applyBorder="1" applyAlignment="1">
      <alignment wrapText="1"/>
    </xf>
    <xf numFmtId="0" fontId="15" fillId="0" borderId="49" xfId="0" applyFont="1" applyBorder="1" applyAlignment="1">
      <alignment readingOrder="1"/>
    </xf>
    <xf numFmtId="0" fontId="15" fillId="0" borderId="153" xfId="0" applyFont="1" applyBorder="1" applyAlignment="1">
      <alignment readingOrder="1"/>
    </xf>
    <xf numFmtId="0" fontId="15" fillId="0" borderId="154" xfId="0" applyFont="1" applyBorder="1" applyAlignment="1">
      <alignment horizontal="center" readingOrder="1"/>
    </xf>
    <xf numFmtId="0" fontId="48" fillId="0" borderId="55" xfId="0" applyFont="1" applyBorder="1"/>
    <xf numFmtId="0" fontId="15" fillId="0" borderId="69" xfId="0" applyFont="1" applyBorder="1" applyAlignment="1">
      <alignment wrapText="1"/>
    </xf>
    <xf numFmtId="0" fontId="58" fillId="0" borderId="52" xfId="0" applyFont="1" applyBorder="1" applyAlignment="1">
      <alignment wrapText="1"/>
    </xf>
    <xf numFmtId="0" fontId="1" fillId="0" borderId="55" xfId="0" applyFont="1" applyBorder="1" applyAlignment="1">
      <alignment wrapText="1"/>
    </xf>
    <xf numFmtId="0" fontId="5" fillId="0" borderId="69" xfId="0" applyFont="1" applyBorder="1" applyAlignment="1">
      <alignment wrapText="1"/>
    </xf>
    <xf numFmtId="0" fontId="15" fillId="0" borderId="52" xfId="0" applyFont="1" applyBorder="1" applyAlignment="1">
      <alignment wrapText="1"/>
    </xf>
    <xf numFmtId="0" fontId="15" fillId="0" borderId="52" xfId="0" applyFont="1" applyBorder="1" applyAlignment="1">
      <alignment readingOrder="1"/>
    </xf>
    <xf numFmtId="0" fontId="15" fillId="0" borderId="0" xfId="0" applyFont="1" applyAlignment="1">
      <alignment wrapText="1"/>
    </xf>
    <xf numFmtId="169" fontId="50" fillId="0" borderId="52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15" fillId="0" borderId="154" xfId="0" applyFont="1" applyBorder="1" applyAlignment="1">
      <alignment readingOrder="1"/>
    </xf>
    <xf numFmtId="0" fontId="48" fillId="0" borderId="52" xfId="0" applyFont="1" applyBorder="1" applyAlignment="1">
      <alignment readingOrder="1"/>
    </xf>
    <xf numFmtId="0" fontId="18" fillId="0" borderId="0" xfId="1" applyAlignment="1" applyProtection="1">
      <alignment vertical="center" wrapText="1"/>
    </xf>
    <xf numFmtId="169" fontId="48" fillId="0" borderId="52" xfId="0" applyNumberFormat="1" applyFont="1" applyBorder="1" applyAlignment="1">
      <alignment wrapText="1"/>
    </xf>
    <xf numFmtId="0" fontId="49" fillId="0" borderId="69" xfId="0" applyFont="1" applyBorder="1"/>
    <xf numFmtId="0" fontId="58" fillId="0" borderId="52" xfId="0" applyFont="1" applyBorder="1"/>
    <xf numFmtId="0" fontId="5" fillId="0" borderId="52" xfId="0" applyFont="1" applyBorder="1"/>
    <xf numFmtId="0" fontId="15" fillId="0" borderId="55" xfId="0" applyFont="1" applyBorder="1" applyAlignment="1">
      <alignment wrapText="1"/>
    </xf>
    <xf numFmtId="0" fontId="15" fillId="0" borderId="155" xfId="0" applyFont="1" applyBorder="1" applyAlignment="1">
      <alignment readingOrder="1"/>
    </xf>
    <xf numFmtId="0" fontId="15" fillId="0" borderId="156" xfId="0" applyFont="1" applyBorder="1" applyAlignment="1">
      <alignment readingOrder="1"/>
    </xf>
    <xf numFmtId="0" fontId="15" fillId="0" borderId="69" xfId="0" applyFont="1" applyBorder="1" applyAlignment="1">
      <alignment readingOrder="1"/>
    </xf>
    <xf numFmtId="0" fontId="15" fillId="0" borderId="150" xfId="0" applyFont="1" applyBorder="1" applyAlignment="1">
      <alignment readingOrder="1"/>
    </xf>
    <xf numFmtId="0" fontId="1" fillId="0" borderId="50" xfId="0" applyFont="1" applyBorder="1" applyAlignment="1">
      <alignment wrapText="1"/>
    </xf>
    <xf numFmtId="0" fontId="1" fillId="0" borderId="56" xfId="0" applyFont="1" applyBorder="1" applyAlignment="1">
      <alignment wrapText="1"/>
    </xf>
    <xf numFmtId="0" fontId="1" fillId="0" borderId="53" xfId="0" applyFont="1" applyBorder="1" applyAlignment="1">
      <alignment wrapText="1"/>
    </xf>
    <xf numFmtId="0" fontId="15" fillId="0" borderId="50" xfId="0" applyFont="1" applyBorder="1" applyAlignment="1">
      <alignment readingOrder="1"/>
    </xf>
    <xf numFmtId="0" fontId="15" fillId="0" borderId="70" xfId="0" applyFont="1" applyBorder="1" applyAlignment="1">
      <alignment readingOrder="1"/>
    </xf>
    <xf numFmtId="0" fontId="15" fillId="0" borderId="53" xfId="0" applyFont="1" applyBorder="1" applyAlignment="1">
      <alignment readingOrder="1"/>
    </xf>
    <xf numFmtId="0" fontId="15" fillId="0" borderId="156" xfId="0" applyFont="1" applyBorder="1" applyAlignment="1">
      <alignment horizontal="center" readingOrder="1"/>
    </xf>
    <xf numFmtId="0" fontId="15" fillId="0" borderId="56" xfId="0" applyFont="1" applyBorder="1" applyAlignment="1">
      <alignment wrapText="1"/>
    </xf>
    <xf numFmtId="0" fontId="15" fillId="0" borderId="53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48" fillId="0" borderId="53" xfId="0" applyFont="1" applyBorder="1" applyAlignment="1">
      <alignment readingOrder="1"/>
    </xf>
    <xf numFmtId="0" fontId="5" fillId="7" borderId="0" xfId="0" applyFont="1" applyFill="1"/>
    <xf numFmtId="0" fontId="1" fillId="7" borderId="0" xfId="0" applyFont="1" applyFill="1" applyAlignment="1">
      <alignment wrapText="1"/>
    </xf>
    <xf numFmtId="0" fontId="4" fillId="7" borderId="0" xfId="0" applyFont="1" applyFill="1"/>
    <xf numFmtId="3" fontId="1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3" xfId="0" applyFont="1" applyBorder="1" applyAlignment="1" applyProtection="1">
      <alignment horizontal="center" vertical="center" wrapText="1"/>
      <protection locked="0"/>
    </xf>
    <xf numFmtId="0" fontId="48" fillId="19" borderId="151" xfId="0" applyFont="1" applyFill="1" applyBorder="1" applyAlignment="1">
      <alignment wrapText="1"/>
    </xf>
    <xf numFmtId="0" fontId="48" fillId="0" borderId="153" xfId="0" applyFont="1" applyBorder="1" applyAlignment="1">
      <alignment readingOrder="1"/>
    </xf>
    <xf numFmtId="0" fontId="48" fillId="0" borderId="155" xfId="0" applyFont="1" applyBorder="1" applyAlignment="1">
      <alignment readingOrder="1"/>
    </xf>
    <xf numFmtId="0" fontId="48" fillId="0" borderId="55" xfId="0" applyFont="1" applyBorder="1" applyAlignment="1">
      <alignment wrapText="1"/>
    </xf>
    <xf numFmtId="0" fontId="48" fillId="0" borderId="55" xfId="0" applyFont="1" applyBorder="1" applyAlignment="1">
      <alignment readingOrder="1"/>
    </xf>
    <xf numFmtId="0" fontId="48" fillId="0" borderId="56" xfId="0" applyFont="1" applyBorder="1" applyAlignment="1">
      <alignment readingOrder="1"/>
    </xf>
    <xf numFmtId="169" fontId="48" fillId="0" borderId="153" xfId="0" applyNumberFormat="1" applyFont="1" applyBorder="1" applyAlignment="1">
      <alignment wrapText="1"/>
    </xf>
    <xf numFmtId="0" fontId="3" fillId="47" borderId="161" xfId="0" applyFont="1" applyFill="1" applyBorder="1" applyAlignment="1" applyProtection="1">
      <alignment horizontal="left" vertical="center" wrapText="1"/>
      <protection locked="0"/>
    </xf>
    <xf numFmtId="0" fontId="0" fillId="47" borderId="161" xfId="0" applyFill="1" applyBorder="1" applyAlignment="1" applyProtection="1">
      <alignment wrapText="1"/>
      <protection locked="0"/>
    </xf>
    <xf numFmtId="0" fontId="1" fillId="47" borderId="198" xfId="0" applyFont="1" applyFill="1" applyBorder="1" applyProtection="1">
      <protection locked="0"/>
    </xf>
    <xf numFmtId="0" fontId="2" fillId="47" borderId="192" xfId="0" applyFont="1" applyFill="1" applyBorder="1" applyAlignment="1" applyProtection="1">
      <alignment horizontal="left" vertical="top"/>
      <protection locked="0"/>
    </xf>
    <xf numFmtId="0" fontId="1" fillId="47" borderId="192" xfId="0" applyFont="1" applyFill="1" applyBorder="1" applyAlignment="1" applyProtection="1">
      <alignment horizontal="right" wrapText="1"/>
      <protection locked="0"/>
    </xf>
    <xf numFmtId="0" fontId="1" fillId="47" borderId="163" xfId="0" applyFont="1" applyFill="1" applyBorder="1" applyAlignment="1" applyProtection="1">
      <alignment horizontal="right" wrapText="1"/>
      <protection locked="0"/>
    </xf>
    <xf numFmtId="0" fontId="1" fillId="47" borderId="190" xfId="0" applyFont="1" applyFill="1" applyBorder="1" applyAlignment="1" applyProtection="1">
      <alignment horizontal="right" wrapText="1"/>
      <protection locked="0"/>
    </xf>
    <xf numFmtId="0" fontId="3" fillId="47" borderId="163" xfId="0" applyFont="1" applyFill="1" applyBorder="1" applyAlignment="1" applyProtection="1">
      <alignment horizontal="left" vertical="center" wrapText="1"/>
      <protection locked="0"/>
    </xf>
    <xf numFmtId="0" fontId="3" fillId="47" borderId="191" xfId="0" applyFont="1" applyFill="1" applyBorder="1" applyAlignment="1" applyProtection="1">
      <alignment horizontal="left" vertical="center" wrapText="1"/>
      <protection locked="0"/>
    </xf>
    <xf numFmtId="0" fontId="3" fillId="47" borderId="192" xfId="0" applyFont="1" applyFill="1" applyBorder="1" applyAlignment="1" applyProtection="1">
      <alignment horizontal="left" vertical="center" wrapText="1"/>
      <protection locked="0"/>
    </xf>
    <xf numFmtId="0" fontId="3" fillId="47" borderId="193" xfId="0" applyFont="1" applyFill="1" applyBorder="1" applyAlignment="1" applyProtection="1">
      <alignment horizontal="left" vertical="center" wrapText="1"/>
      <protection locked="0"/>
    </xf>
    <xf numFmtId="0" fontId="3" fillId="47" borderId="189" xfId="0" applyFont="1" applyFill="1" applyBorder="1" applyAlignment="1" applyProtection="1">
      <alignment horizontal="left" vertical="top" wrapText="1"/>
      <protection locked="0"/>
    </xf>
    <xf numFmtId="0" fontId="1" fillId="47" borderId="166" xfId="0" applyFont="1" applyFill="1" applyBorder="1" applyProtection="1">
      <protection locked="0"/>
    </xf>
    <xf numFmtId="0" fontId="20" fillId="47" borderId="164" xfId="0" applyFont="1" applyFill="1" applyBorder="1" applyAlignment="1" applyProtection="1">
      <alignment horizontal="left" vertical="center"/>
      <protection locked="0"/>
    </xf>
    <xf numFmtId="0" fontId="20" fillId="47" borderId="165" xfId="0" applyFont="1" applyFill="1" applyBorder="1" applyAlignment="1" applyProtection="1">
      <alignment horizontal="left" vertical="center"/>
      <protection locked="0"/>
    </xf>
    <xf numFmtId="0" fontId="2" fillId="47" borderId="165" xfId="0" applyFont="1" applyFill="1" applyBorder="1" applyAlignment="1" applyProtection="1">
      <alignment horizontal="center" vertical="center" wrapText="1"/>
      <protection locked="0"/>
    </xf>
    <xf numFmtId="3" fontId="24" fillId="47" borderId="165" xfId="0" applyNumberFormat="1" applyFont="1" applyFill="1" applyBorder="1" applyAlignment="1" applyProtection="1">
      <alignment horizontal="right" vertical="top" wrapText="1"/>
      <protection locked="0"/>
    </xf>
    <xf numFmtId="0" fontId="3" fillId="47" borderId="165" xfId="0" applyFont="1" applyFill="1" applyBorder="1" applyAlignment="1" applyProtection="1">
      <alignment horizontal="left" vertical="center" wrapText="1"/>
      <protection locked="0"/>
    </xf>
    <xf numFmtId="0" fontId="0" fillId="47" borderId="165" xfId="0" applyFill="1" applyBorder="1" applyAlignment="1" applyProtection="1">
      <alignment wrapText="1"/>
      <protection locked="0"/>
    </xf>
    <xf numFmtId="0" fontId="0" fillId="47" borderId="200" xfId="0" applyFill="1" applyBorder="1" applyAlignment="1" applyProtection="1">
      <alignment wrapText="1"/>
      <protection locked="0"/>
    </xf>
    <xf numFmtId="0" fontId="16" fillId="47" borderId="199" xfId="0" applyFont="1" applyFill="1" applyBorder="1" applyAlignment="1" applyProtection="1">
      <alignment vertical="center" wrapText="1"/>
      <protection locked="0"/>
    </xf>
    <xf numFmtId="0" fontId="16" fillId="47" borderId="61" xfId="0" applyFont="1" applyFill="1" applyBorder="1" applyAlignment="1" applyProtection="1">
      <alignment vertical="center" wrapText="1"/>
      <protection locked="0"/>
    </xf>
    <xf numFmtId="0" fontId="22" fillId="47" borderId="64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47" borderId="6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47" borderId="63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47" borderId="64" xfId="0" applyFont="1" applyFill="1" applyBorder="1" applyAlignment="1" applyProtection="1">
      <alignment horizontal="center" vertical="center" wrapText="1"/>
      <protection locked="0"/>
    </xf>
    <xf numFmtId="0" fontId="2" fillId="48" borderId="201" xfId="0" applyFont="1" applyFill="1" applyBorder="1" applyProtection="1">
      <protection locked="0"/>
    </xf>
    <xf numFmtId="0" fontId="2" fillId="48" borderId="202" xfId="0" applyFont="1" applyFill="1" applyBorder="1" applyAlignment="1" applyProtection="1">
      <alignment horizontal="left" vertical="top"/>
      <protection locked="0"/>
    </xf>
    <xf numFmtId="0" fontId="0" fillId="48" borderId="202" xfId="0" applyFill="1" applyBorder="1" applyAlignment="1" applyProtection="1">
      <alignment wrapText="1"/>
      <protection locked="0"/>
    </xf>
    <xf numFmtId="0" fontId="1" fillId="48" borderId="198" xfId="0" applyFont="1" applyFill="1" applyBorder="1" applyProtection="1">
      <protection locked="0"/>
    </xf>
    <xf numFmtId="0" fontId="2" fillId="48" borderId="64" xfId="0" applyFont="1" applyFill="1" applyBorder="1" applyAlignment="1" applyProtection="1">
      <alignment horizontal="left" vertical="top"/>
      <protection locked="0"/>
    </xf>
    <xf numFmtId="0" fontId="1" fillId="48" borderId="64" xfId="0" applyFont="1" applyFill="1" applyBorder="1" applyAlignment="1" applyProtection="1">
      <alignment horizontal="right" wrapText="1"/>
      <protection locked="0"/>
    </xf>
    <xf numFmtId="0" fontId="1" fillId="48" borderId="61" xfId="0" applyFont="1" applyFill="1" applyBorder="1" applyAlignment="1" applyProtection="1">
      <alignment horizontal="right" wrapText="1"/>
      <protection locked="0"/>
    </xf>
    <xf numFmtId="0" fontId="1" fillId="48" borderId="83" xfId="0" applyFont="1" applyFill="1" applyBorder="1" applyAlignment="1" applyProtection="1">
      <alignment horizontal="right" wrapText="1"/>
      <protection locked="0"/>
    </xf>
    <xf numFmtId="0" fontId="3" fillId="48" borderId="61" xfId="0" applyFont="1" applyFill="1" applyBorder="1" applyAlignment="1" applyProtection="1">
      <alignment horizontal="left" vertical="center" wrapText="1"/>
      <protection locked="0"/>
    </xf>
    <xf numFmtId="0" fontId="3" fillId="48" borderId="63" xfId="0" applyFont="1" applyFill="1" applyBorder="1" applyAlignment="1" applyProtection="1">
      <alignment horizontal="left" vertical="center" wrapText="1"/>
      <protection locked="0"/>
    </xf>
    <xf numFmtId="0" fontId="3" fillId="48" borderId="64" xfId="0" applyFont="1" applyFill="1" applyBorder="1" applyAlignment="1" applyProtection="1">
      <alignment horizontal="left" vertical="center" wrapText="1"/>
      <protection locked="0"/>
    </xf>
    <xf numFmtId="0" fontId="3" fillId="48" borderId="66" xfId="0" applyFont="1" applyFill="1" applyBorder="1" applyAlignment="1" applyProtection="1">
      <alignment horizontal="left" vertical="center" wrapText="1"/>
      <protection locked="0"/>
    </xf>
    <xf numFmtId="0" fontId="2" fillId="48" borderId="164" xfId="0" applyFont="1" applyFill="1" applyBorder="1" applyProtection="1">
      <protection locked="0"/>
    </xf>
    <xf numFmtId="0" fontId="1" fillId="48" borderId="166" xfId="0" applyFont="1" applyFill="1" applyBorder="1" applyProtection="1">
      <protection locked="0"/>
    </xf>
    <xf numFmtId="0" fontId="2" fillId="48" borderId="193" xfId="0" applyFont="1" applyFill="1" applyBorder="1" applyAlignment="1" applyProtection="1">
      <alignment horizontal="left" vertical="top"/>
      <protection locked="0"/>
    </xf>
    <xf numFmtId="0" fontId="1" fillId="48" borderId="189" xfId="0" applyFont="1" applyFill="1" applyBorder="1" applyAlignment="1" applyProtection="1">
      <alignment horizontal="right" wrapText="1"/>
      <protection locked="0"/>
    </xf>
    <xf numFmtId="0" fontId="1" fillId="48" borderId="163" xfId="0" applyFont="1" applyFill="1" applyBorder="1" applyAlignment="1" applyProtection="1">
      <alignment horizontal="right" wrapText="1"/>
      <protection locked="0"/>
    </xf>
    <xf numFmtId="0" fontId="1" fillId="48" borderId="190" xfId="0" applyFont="1" applyFill="1" applyBorder="1" applyAlignment="1" applyProtection="1">
      <alignment horizontal="right" wrapText="1"/>
      <protection locked="0"/>
    </xf>
    <xf numFmtId="0" fontId="3" fillId="48" borderId="163" xfId="0" applyFont="1" applyFill="1" applyBorder="1" applyAlignment="1" applyProtection="1">
      <alignment horizontal="left" vertical="center" wrapText="1"/>
      <protection locked="0"/>
    </xf>
    <xf numFmtId="0" fontId="3" fillId="48" borderId="191" xfId="0" applyFont="1" applyFill="1" applyBorder="1" applyAlignment="1" applyProtection="1">
      <alignment horizontal="left" vertical="center" wrapText="1"/>
      <protection locked="0"/>
    </xf>
    <xf numFmtId="0" fontId="3" fillId="48" borderId="192" xfId="0" applyFont="1" applyFill="1" applyBorder="1" applyAlignment="1" applyProtection="1">
      <alignment horizontal="left" vertical="center" wrapText="1"/>
      <protection locked="0"/>
    </xf>
    <xf numFmtId="0" fontId="3" fillId="48" borderId="193" xfId="0" applyFont="1" applyFill="1" applyBorder="1" applyAlignment="1" applyProtection="1">
      <alignment horizontal="left" vertical="center" wrapText="1"/>
      <protection locked="0"/>
    </xf>
    <xf numFmtId="0" fontId="3" fillId="48" borderId="194" xfId="0" applyFont="1" applyFill="1" applyBorder="1" applyAlignment="1" applyProtection="1">
      <alignment horizontal="left" vertical="top" wrapText="1"/>
      <protection locked="0"/>
    </xf>
    <xf numFmtId="0" fontId="2" fillId="49" borderId="201" xfId="0" applyFont="1" applyFill="1" applyBorder="1" applyProtection="1">
      <protection locked="0"/>
    </xf>
    <xf numFmtId="0" fontId="2" fillId="49" borderId="202" xfId="0" applyFont="1" applyFill="1" applyBorder="1" applyAlignment="1" applyProtection="1">
      <alignment horizontal="left"/>
      <protection locked="0"/>
    </xf>
    <xf numFmtId="0" fontId="0" fillId="49" borderId="202" xfId="0" applyFill="1" applyBorder="1" applyAlignment="1" applyProtection="1">
      <alignment wrapText="1"/>
      <protection locked="0"/>
    </xf>
    <xf numFmtId="0" fontId="1" fillId="49" borderId="198" xfId="0" applyFont="1" applyFill="1" applyBorder="1" applyProtection="1">
      <protection locked="0"/>
    </xf>
    <xf numFmtId="0" fontId="2" fillId="49" borderId="64" xfId="0" applyFont="1" applyFill="1" applyBorder="1" applyAlignment="1" applyProtection="1">
      <alignment horizontal="left" vertical="top"/>
      <protection locked="0"/>
    </xf>
    <xf numFmtId="0" fontId="1" fillId="49" borderId="64" xfId="0" applyFont="1" applyFill="1" applyBorder="1" applyAlignment="1" applyProtection="1">
      <alignment horizontal="right" wrapText="1"/>
      <protection locked="0"/>
    </xf>
    <xf numFmtId="0" fontId="1" fillId="49" borderId="61" xfId="0" applyFont="1" applyFill="1" applyBorder="1" applyAlignment="1" applyProtection="1">
      <alignment horizontal="right" wrapText="1"/>
      <protection locked="0"/>
    </xf>
    <xf numFmtId="0" fontId="1" fillId="49" borderId="83" xfId="0" applyFont="1" applyFill="1" applyBorder="1" applyAlignment="1" applyProtection="1">
      <alignment horizontal="right" wrapText="1"/>
      <protection locked="0"/>
    </xf>
    <xf numFmtId="0" fontId="3" fillId="49" borderId="61" xfId="0" applyFont="1" applyFill="1" applyBorder="1" applyAlignment="1" applyProtection="1">
      <alignment horizontal="left" vertical="center" wrapText="1"/>
      <protection locked="0"/>
    </xf>
    <xf numFmtId="0" fontId="3" fillId="49" borderId="63" xfId="0" applyFont="1" applyFill="1" applyBorder="1" applyAlignment="1" applyProtection="1">
      <alignment horizontal="left" vertical="center" wrapText="1"/>
      <protection locked="0"/>
    </xf>
    <xf numFmtId="0" fontId="3" fillId="49" borderId="64" xfId="0" applyFont="1" applyFill="1" applyBorder="1" applyAlignment="1" applyProtection="1">
      <alignment horizontal="left" vertical="center" wrapText="1"/>
      <protection locked="0"/>
    </xf>
    <xf numFmtId="0" fontId="3" fillId="49" borderId="66" xfId="0" applyFont="1" applyFill="1" applyBorder="1" applyAlignment="1" applyProtection="1">
      <alignment horizontal="left" vertical="center" wrapText="1"/>
      <protection locked="0"/>
    </xf>
    <xf numFmtId="0" fontId="2" fillId="49" borderId="164" xfId="0" applyFont="1" applyFill="1" applyBorder="1" applyProtection="1">
      <protection locked="0"/>
    </xf>
    <xf numFmtId="0" fontId="1" fillId="49" borderId="166" xfId="0" applyFont="1" applyFill="1" applyBorder="1" applyProtection="1">
      <protection locked="0"/>
    </xf>
    <xf numFmtId="0" fontId="2" fillId="49" borderId="193" xfId="0" applyFont="1" applyFill="1" applyBorder="1" applyAlignment="1" applyProtection="1">
      <alignment horizontal="left" vertical="top"/>
      <protection locked="0"/>
    </xf>
    <xf numFmtId="0" fontId="1" fillId="49" borderId="189" xfId="0" applyFont="1" applyFill="1" applyBorder="1" applyAlignment="1" applyProtection="1">
      <alignment horizontal="right" wrapText="1"/>
      <protection locked="0"/>
    </xf>
    <xf numFmtId="0" fontId="1" fillId="49" borderId="163" xfId="0" applyFont="1" applyFill="1" applyBorder="1" applyAlignment="1" applyProtection="1">
      <alignment horizontal="right" wrapText="1"/>
      <protection locked="0"/>
    </xf>
    <xf numFmtId="0" fontId="1" fillId="49" borderId="190" xfId="0" applyFont="1" applyFill="1" applyBorder="1" applyAlignment="1" applyProtection="1">
      <alignment horizontal="right" wrapText="1"/>
      <protection locked="0"/>
    </xf>
    <xf numFmtId="0" fontId="3" fillId="49" borderId="163" xfId="0" applyFont="1" applyFill="1" applyBorder="1" applyAlignment="1" applyProtection="1">
      <alignment horizontal="left" vertical="center" wrapText="1"/>
      <protection locked="0"/>
    </xf>
    <xf numFmtId="0" fontId="3" fillId="49" borderId="191" xfId="0" applyFont="1" applyFill="1" applyBorder="1" applyAlignment="1" applyProtection="1">
      <alignment horizontal="left" vertical="center" wrapText="1"/>
      <protection locked="0"/>
    </xf>
    <xf numFmtId="0" fontId="3" fillId="49" borderId="192" xfId="0" applyFont="1" applyFill="1" applyBorder="1" applyAlignment="1" applyProtection="1">
      <alignment horizontal="left" vertical="center" wrapText="1"/>
      <protection locked="0"/>
    </xf>
    <xf numFmtId="0" fontId="3" fillId="49" borderId="193" xfId="0" applyFont="1" applyFill="1" applyBorder="1" applyAlignment="1" applyProtection="1">
      <alignment horizontal="left" vertical="center" wrapText="1"/>
      <protection locked="0"/>
    </xf>
    <xf numFmtId="0" fontId="3" fillId="49" borderId="194" xfId="0" applyFont="1" applyFill="1" applyBorder="1" applyAlignment="1" applyProtection="1">
      <alignment horizontal="left" vertical="top" wrapText="1"/>
      <protection locked="0"/>
    </xf>
    <xf numFmtId="0" fontId="18" fillId="0" borderId="0" xfId="1" applyFill="1" applyAlignment="1" applyProtection="1">
      <protection locked="0"/>
    </xf>
    <xf numFmtId="0" fontId="2" fillId="0" borderId="0" xfId="0" applyFont="1" applyProtection="1">
      <protection locked="0"/>
    </xf>
    <xf numFmtId="165" fontId="61" fillId="10" borderId="14" xfId="0" applyNumberFormat="1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1" xfId="0" applyFont="1" applyBorder="1" applyAlignment="1" applyProtection="1">
      <alignment horizontal="right" vertical="center" wrapText="1"/>
      <protection locked="0"/>
    </xf>
    <xf numFmtId="0" fontId="3" fillId="11" borderId="0" xfId="0" applyFont="1" applyFill="1" applyAlignment="1" applyProtection="1">
      <alignment horizontal="right" vertical="center" wrapText="1"/>
      <protection locked="0"/>
    </xf>
    <xf numFmtId="0" fontId="3" fillId="0" borderId="0" xfId="0" quotePrefix="1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80" xfId="0" applyFont="1" applyBorder="1" applyAlignment="1" applyProtection="1">
      <alignment horizontal="left" vertical="center" wrapText="1"/>
      <protection locked="0"/>
    </xf>
    <xf numFmtId="0" fontId="3" fillId="0" borderId="18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6" fillId="0" borderId="180" xfId="0" applyFont="1" applyBorder="1" applyAlignment="1" applyProtection="1">
      <alignment vertical="center" wrapText="1"/>
      <protection locked="0"/>
    </xf>
    <xf numFmtId="0" fontId="6" fillId="0" borderId="184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18" fillId="0" borderId="49" xfId="1" applyBorder="1" applyAlignment="1">
      <alignment wrapText="1"/>
    </xf>
    <xf numFmtId="0" fontId="2" fillId="0" borderId="62" xfId="0" applyFont="1" applyBorder="1" applyAlignment="1" applyProtection="1">
      <alignment horizontal="center" vertical="center" wrapText="1"/>
      <protection locked="0"/>
    </xf>
    <xf numFmtId="0" fontId="12" fillId="0" borderId="60" xfId="0" applyFont="1" applyBorder="1" applyAlignment="1" applyProtection="1">
      <alignment vertical="center"/>
      <protection locked="0"/>
    </xf>
    <xf numFmtId="1" fontId="28" fillId="0" borderId="93" xfId="0" applyNumberFormat="1" applyFont="1" applyBorder="1" applyAlignment="1">
      <alignment horizontal="center" vertical="center"/>
    </xf>
    <xf numFmtId="0" fontId="20" fillId="47" borderId="186" xfId="0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4" fillId="0" borderId="160" xfId="0" quotePrefix="1" applyFont="1" applyBorder="1"/>
    <xf numFmtId="0" fontId="1" fillId="0" borderId="164" xfId="0" applyFont="1" applyBorder="1" applyAlignment="1">
      <alignment wrapText="1"/>
    </xf>
    <xf numFmtId="0" fontId="12" fillId="34" borderId="61" xfId="0" applyFont="1" applyFill="1" applyBorder="1" applyAlignment="1">
      <alignment wrapText="1"/>
    </xf>
    <xf numFmtId="0" fontId="12" fillId="19" borderId="61" xfId="0" applyFont="1" applyFill="1" applyBorder="1" applyAlignment="1">
      <alignment wrapText="1"/>
    </xf>
    <xf numFmtId="0" fontId="12" fillId="35" borderId="61" xfId="0" applyFont="1" applyFill="1" applyBorder="1" applyAlignment="1">
      <alignment wrapText="1"/>
    </xf>
    <xf numFmtId="0" fontId="12" fillId="36" borderId="61" xfId="0" applyFont="1" applyFill="1" applyBorder="1" applyAlignment="1">
      <alignment wrapText="1"/>
    </xf>
    <xf numFmtId="0" fontId="63" fillId="0" borderId="2" xfId="0" applyFont="1" applyBorder="1"/>
    <xf numFmtId="0" fontId="4" fillId="46" borderId="61" xfId="0" applyFont="1" applyFill="1" applyBorder="1" applyAlignment="1">
      <alignment wrapText="1"/>
    </xf>
    <xf numFmtId="0" fontId="64" fillId="0" borderId="5" xfId="0" applyFont="1" applyBorder="1" applyAlignment="1" applyProtection="1">
      <alignment horizontal="center" wrapText="1"/>
      <protection locked="0"/>
    </xf>
    <xf numFmtId="0" fontId="64" fillId="0" borderId="57" xfId="0" applyFont="1" applyBorder="1" applyAlignment="1" applyProtection="1">
      <alignment horizontal="center" wrapText="1"/>
      <protection locked="0"/>
    </xf>
    <xf numFmtId="0" fontId="64" fillId="0" borderId="2" xfId="0" applyFont="1" applyBorder="1" applyAlignment="1" applyProtection="1">
      <alignment horizontal="center" wrapText="1"/>
      <protection locked="0"/>
    </xf>
    <xf numFmtId="0" fontId="64" fillId="0" borderId="3" xfId="0" applyFont="1" applyBorder="1" applyAlignment="1" applyProtection="1">
      <alignment horizontal="center" wrapText="1"/>
      <protection locked="0"/>
    </xf>
    <xf numFmtId="0" fontId="64" fillId="0" borderId="58" xfId="0" applyFont="1" applyBorder="1" applyAlignment="1" applyProtection="1">
      <alignment horizontal="center" wrapText="1"/>
      <protection locked="0"/>
    </xf>
    <xf numFmtId="0" fontId="15" fillId="0" borderId="33" xfId="0" applyFont="1" applyBorder="1" applyAlignment="1">
      <alignment wrapText="1"/>
    </xf>
    <xf numFmtId="0" fontId="4" fillId="9" borderId="5" xfId="0" applyFont="1" applyFill="1" applyBorder="1" applyAlignment="1" applyProtection="1">
      <alignment horizontal="right" vertical="center"/>
      <protection locked="0"/>
    </xf>
    <xf numFmtId="0" fontId="15" fillId="0" borderId="215" xfId="0" applyFont="1" applyBorder="1" applyAlignment="1">
      <alignment wrapText="1"/>
    </xf>
    <xf numFmtId="0" fontId="15" fillId="0" borderId="216" xfId="0" applyFont="1" applyBorder="1" applyAlignment="1">
      <alignment wrapText="1"/>
    </xf>
    <xf numFmtId="0" fontId="15" fillId="0" borderId="130" xfId="0" applyFont="1" applyBorder="1" applyAlignment="1">
      <alignment wrapText="1"/>
    </xf>
    <xf numFmtId="0" fontId="15" fillId="0" borderId="43" xfId="0" applyFont="1" applyBorder="1" applyAlignment="1">
      <alignment wrapText="1"/>
    </xf>
    <xf numFmtId="0" fontId="15" fillId="0" borderId="217" xfId="0" applyFont="1" applyBorder="1" applyAlignment="1">
      <alignment wrapText="1"/>
    </xf>
    <xf numFmtId="164" fontId="50" fillId="0" borderId="0" xfId="0" applyNumberFormat="1" applyFont="1" applyAlignment="1">
      <alignment wrapText="1"/>
    </xf>
    <xf numFmtId="0" fontId="48" fillId="19" borderId="129" xfId="0" applyFont="1" applyFill="1" applyBorder="1" applyAlignment="1">
      <alignment wrapText="1"/>
    </xf>
    <xf numFmtId="0" fontId="48" fillId="19" borderId="40" xfId="0" applyFont="1" applyFill="1" applyBorder="1" applyAlignment="1">
      <alignment wrapText="1"/>
    </xf>
    <xf numFmtId="0" fontId="48" fillId="19" borderId="214" xfId="0" applyFont="1" applyFill="1" applyBorder="1" applyAlignment="1">
      <alignment wrapText="1"/>
    </xf>
    <xf numFmtId="0" fontId="5" fillId="0" borderId="57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8" xfId="0" applyFont="1" applyBorder="1" applyAlignment="1" applyProtection="1">
      <alignment horizontal="center" wrapText="1"/>
      <protection locked="0"/>
    </xf>
    <xf numFmtId="0" fontId="2" fillId="0" borderId="169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3" fillId="9" borderId="77" xfId="2" applyFont="1" applyFill="1" applyBorder="1" applyAlignment="1" applyProtection="1">
      <alignment horizontal="center" vertical="center"/>
      <protection locked="0"/>
    </xf>
    <xf numFmtId="0" fontId="53" fillId="9" borderId="77" xfId="2" applyFont="1" applyFill="1" applyBorder="1" applyAlignment="1" applyProtection="1">
      <alignment horizontal="center" vertical="center" wrapText="1"/>
      <protection locked="0"/>
    </xf>
    <xf numFmtId="0" fontId="12" fillId="9" borderId="77" xfId="2" applyFont="1" applyFill="1" applyBorder="1" applyAlignment="1" applyProtection="1">
      <alignment vertical="center"/>
      <protection locked="0"/>
    </xf>
    <xf numFmtId="172" fontId="21" fillId="0" borderId="77" xfId="2" applyNumberFormat="1" applyFont="1" applyBorder="1" applyAlignment="1" applyProtection="1">
      <alignment vertical="center"/>
      <protection locked="0"/>
    </xf>
    <xf numFmtId="0" fontId="55" fillId="9" borderId="79" xfId="2" applyFont="1" applyFill="1" applyBorder="1" applyAlignment="1">
      <alignment vertical="center"/>
    </xf>
    <xf numFmtId="0" fontId="53" fillId="9" borderId="91" xfId="2" applyFont="1" applyFill="1" applyBorder="1" applyAlignment="1" applyProtection="1">
      <alignment horizontal="center" vertical="center"/>
      <protection locked="0"/>
    </xf>
    <xf numFmtId="49" fontId="59" fillId="9" borderId="79" xfId="2" applyNumberFormat="1" applyFont="1" applyFill="1" applyBorder="1" applyAlignment="1" applyProtection="1">
      <alignment vertical="center"/>
      <protection locked="0"/>
    </xf>
    <xf numFmtId="0" fontId="4" fillId="9" borderId="202" xfId="2" applyFill="1" applyBorder="1" applyAlignment="1" applyProtection="1">
      <alignment vertical="center"/>
      <protection locked="0"/>
    </xf>
    <xf numFmtId="0" fontId="4" fillId="9" borderId="221" xfId="2" applyFill="1" applyBorder="1" applyAlignment="1" applyProtection="1">
      <alignment vertical="center"/>
      <protection locked="0"/>
    </xf>
    <xf numFmtId="0" fontId="4" fillId="9" borderId="0" xfId="2" applyFill="1" applyAlignment="1" applyProtection="1">
      <alignment vertical="center"/>
      <protection locked="0"/>
    </xf>
    <xf numFmtId="0" fontId="4" fillId="9" borderId="222" xfId="2" applyFill="1" applyBorder="1" applyAlignment="1" applyProtection="1">
      <alignment vertical="center"/>
      <protection locked="0"/>
    </xf>
    <xf numFmtId="0" fontId="12" fillId="9" borderId="223" xfId="2" applyFont="1" applyFill="1" applyBorder="1" applyAlignment="1" applyProtection="1">
      <alignment vertical="center"/>
      <protection locked="0"/>
    </xf>
    <xf numFmtId="0" fontId="12" fillId="9" borderId="225" xfId="2" applyFont="1" applyFill="1" applyBorder="1" applyAlignment="1" applyProtection="1">
      <alignment vertical="center"/>
      <protection locked="0"/>
    </xf>
    <xf numFmtId="0" fontId="53" fillId="9" borderId="224" xfId="2" applyFont="1" applyFill="1" applyBorder="1" applyAlignment="1" applyProtection="1">
      <alignment vertical="center"/>
      <protection locked="0"/>
    </xf>
    <xf numFmtId="0" fontId="4" fillId="9" borderId="225" xfId="2" applyFill="1" applyBorder="1" applyAlignment="1" applyProtection="1">
      <alignment vertical="center"/>
      <protection locked="0"/>
    </xf>
    <xf numFmtId="0" fontId="21" fillId="9" borderId="225" xfId="2" applyFont="1" applyFill="1" applyBorder="1" applyAlignment="1" applyProtection="1">
      <alignment vertical="center"/>
      <protection locked="0"/>
    </xf>
    <xf numFmtId="0" fontId="21" fillId="9" borderId="223" xfId="2" applyFont="1" applyFill="1" applyBorder="1" applyAlignment="1" applyProtection="1">
      <alignment vertical="center"/>
      <protection locked="0"/>
    </xf>
    <xf numFmtId="0" fontId="53" fillId="9" borderId="233" xfId="2" applyFont="1" applyFill="1" applyBorder="1" applyAlignment="1" applyProtection="1">
      <alignment vertical="center"/>
      <protection locked="0"/>
    </xf>
    <xf numFmtId="0" fontId="53" fillId="9" borderId="234" xfId="2" applyFont="1" applyFill="1" applyBorder="1" applyAlignment="1" applyProtection="1">
      <alignment vertical="center"/>
      <protection locked="0"/>
    </xf>
    <xf numFmtId="0" fontId="21" fillId="9" borderId="234" xfId="2" applyFont="1" applyFill="1" applyBorder="1" applyAlignment="1" applyProtection="1">
      <alignment vertical="center"/>
      <protection locked="0"/>
    </xf>
    <xf numFmtId="0" fontId="53" fillId="9" borderId="227" xfId="2" applyFont="1" applyFill="1" applyBorder="1" applyAlignment="1" applyProtection="1">
      <alignment vertical="center"/>
      <protection locked="0"/>
    </xf>
    <xf numFmtId="0" fontId="12" fillId="9" borderId="231" xfId="2" applyFont="1" applyFill="1" applyBorder="1" applyAlignment="1" applyProtection="1">
      <alignment vertical="center"/>
      <protection locked="0"/>
    </xf>
    <xf numFmtId="0" fontId="4" fillId="9" borderId="236" xfId="2" applyFill="1" applyBorder="1" applyAlignment="1" applyProtection="1">
      <alignment vertical="center"/>
      <protection locked="0"/>
    </xf>
    <xf numFmtId="0" fontId="12" fillId="9" borderId="239" xfId="2" applyFont="1" applyFill="1" applyBorder="1" applyAlignment="1" applyProtection="1">
      <alignment vertical="center"/>
      <protection locked="0"/>
    </xf>
    <xf numFmtId="0" fontId="12" fillId="9" borderId="202" xfId="2" applyFont="1" applyFill="1" applyBorder="1" applyAlignment="1" applyProtection="1">
      <alignment vertical="center"/>
      <protection locked="0"/>
    </xf>
    <xf numFmtId="0" fontId="12" fillId="9" borderId="202" xfId="2" applyFont="1" applyFill="1" applyBorder="1" applyAlignment="1" applyProtection="1">
      <alignment horizontal="center" vertical="center"/>
      <protection locked="0"/>
    </xf>
    <xf numFmtId="0" fontId="12" fillId="9" borderId="221" xfId="2" applyFont="1" applyFill="1" applyBorder="1" applyAlignment="1" applyProtection="1">
      <alignment horizontal="center" vertical="center"/>
      <protection locked="0"/>
    </xf>
    <xf numFmtId="0" fontId="12" fillId="9" borderId="236" xfId="2" applyFont="1" applyFill="1" applyBorder="1" applyAlignment="1" applyProtection="1">
      <alignment vertical="center"/>
      <protection locked="0"/>
    </xf>
    <xf numFmtId="0" fontId="12" fillId="9" borderId="240" xfId="2" applyFont="1" applyFill="1" applyBorder="1" applyAlignment="1" applyProtection="1">
      <alignment vertical="center"/>
      <protection locked="0"/>
    </xf>
    <xf numFmtId="0" fontId="12" fillId="9" borderId="241" xfId="2" applyFont="1" applyFill="1" applyBorder="1" applyAlignment="1" applyProtection="1">
      <alignment vertical="center"/>
      <protection locked="0"/>
    </xf>
    <xf numFmtId="0" fontId="4" fillId="9" borderId="234" xfId="2" applyFill="1" applyBorder="1" applyAlignment="1" applyProtection="1">
      <alignment vertical="center"/>
      <protection locked="0"/>
    </xf>
    <xf numFmtId="0" fontId="53" fillId="9" borderId="225" xfId="2" applyFont="1" applyFill="1" applyBorder="1" applyAlignment="1" applyProtection="1">
      <alignment vertical="center" wrapText="1"/>
      <protection locked="0"/>
    </xf>
    <xf numFmtId="0" fontId="55" fillId="9" borderId="77" xfId="2" applyFont="1" applyFill="1" applyBorder="1" applyAlignment="1" applyProtection="1">
      <alignment horizontal="center" vertical="center"/>
      <protection locked="0"/>
    </xf>
    <xf numFmtId="0" fontId="21" fillId="9" borderId="77" xfId="2" applyFont="1" applyFill="1" applyBorder="1" applyAlignment="1" applyProtection="1">
      <alignment horizontal="center" vertical="center"/>
      <protection locked="0"/>
    </xf>
    <xf numFmtId="0" fontId="21" fillId="9" borderId="224" xfId="2" applyFont="1" applyFill="1" applyBorder="1" applyAlignment="1" applyProtection="1">
      <alignment vertical="center"/>
      <protection locked="0"/>
    </xf>
    <xf numFmtId="0" fontId="53" fillId="9" borderId="236" xfId="2" applyFont="1" applyFill="1" applyBorder="1" applyAlignment="1" applyProtection="1">
      <alignment vertical="center"/>
      <protection locked="0"/>
    </xf>
    <xf numFmtId="0" fontId="53" fillId="9" borderId="237" xfId="2" applyFont="1" applyFill="1" applyBorder="1" applyAlignment="1" applyProtection="1">
      <alignment vertical="center"/>
      <protection locked="0"/>
    </xf>
    <xf numFmtId="0" fontId="21" fillId="9" borderId="237" xfId="2" applyFont="1" applyFill="1" applyBorder="1" applyAlignment="1" applyProtection="1">
      <alignment horizontal="center" vertical="center"/>
      <protection locked="0"/>
    </xf>
    <xf numFmtId="0" fontId="53" fillId="9" borderId="237" xfId="2" applyFont="1" applyFill="1" applyBorder="1" applyAlignment="1" applyProtection="1">
      <alignment horizontal="center" vertical="center"/>
      <protection locked="0"/>
    </xf>
    <xf numFmtId="0" fontId="21" fillId="9" borderId="238" xfId="2" applyFont="1" applyFill="1" applyBorder="1" applyAlignment="1" applyProtection="1">
      <alignment vertical="center"/>
      <protection locked="0"/>
    </xf>
    <xf numFmtId="0" fontId="53" fillId="9" borderId="225" xfId="2" applyFont="1" applyFill="1" applyBorder="1" applyAlignment="1" applyProtection="1">
      <alignment vertical="center"/>
      <protection locked="0"/>
    </xf>
    <xf numFmtId="0" fontId="53" fillId="9" borderId="0" xfId="2" applyFont="1" applyFill="1" applyAlignment="1" applyProtection="1">
      <alignment vertical="center"/>
      <protection locked="0"/>
    </xf>
    <xf numFmtId="0" fontId="53" fillId="0" borderId="244" xfId="2" applyFont="1" applyBorder="1" applyAlignment="1" applyProtection="1">
      <alignment horizontal="center" vertical="center"/>
      <protection locked="0"/>
    </xf>
    <xf numFmtId="0" fontId="53" fillId="9" borderId="241" xfId="2" applyFont="1" applyFill="1" applyBorder="1" applyAlignment="1" applyProtection="1">
      <alignment vertical="center"/>
      <protection locked="0"/>
    </xf>
    <xf numFmtId="0" fontId="53" fillId="9" borderId="247" xfId="2" applyFont="1" applyFill="1" applyBorder="1" applyAlignment="1" applyProtection="1">
      <alignment horizontal="center" vertical="center"/>
      <protection locked="0"/>
    </xf>
    <xf numFmtId="1" fontId="21" fillId="0" borderId="77" xfId="2" applyNumberFormat="1" applyFont="1" applyBorder="1" applyAlignment="1" applyProtection="1">
      <alignment vertical="center"/>
      <protection locked="0"/>
    </xf>
    <xf numFmtId="172" fontId="55" fillId="9" borderId="243" xfId="2" applyNumberFormat="1" applyFont="1" applyFill="1" applyBorder="1" applyAlignment="1">
      <alignment vertical="center"/>
    </xf>
    <xf numFmtId="172" fontId="55" fillId="9" borderId="73" xfId="2" applyNumberFormat="1" applyFont="1" applyFill="1" applyBorder="1" applyAlignment="1">
      <alignment vertical="center"/>
    </xf>
    <xf numFmtId="0" fontId="21" fillId="9" borderId="73" xfId="2" applyFont="1" applyFill="1" applyBorder="1" applyAlignment="1" applyProtection="1">
      <alignment vertical="center"/>
      <protection locked="0"/>
    </xf>
    <xf numFmtId="0" fontId="21" fillId="9" borderId="240" xfId="2" applyFont="1" applyFill="1" applyBorder="1" applyAlignment="1" applyProtection="1">
      <alignment vertical="center"/>
      <protection locked="0"/>
    </xf>
    <xf numFmtId="172" fontId="65" fillId="9" borderId="242" xfId="2" applyNumberFormat="1" applyFont="1" applyFill="1" applyBorder="1" applyAlignment="1">
      <alignment vertical="center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0" fontId="34" fillId="2" borderId="98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44" borderId="80" xfId="0" applyFill="1" applyBorder="1" applyAlignment="1" applyProtection="1">
      <alignment wrapText="1"/>
      <protection locked="0"/>
    </xf>
    <xf numFmtId="0" fontId="0" fillId="44" borderId="82" xfId="0" applyFill="1" applyBorder="1" applyAlignment="1" applyProtection="1">
      <alignment wrapText="1"/>
      <protection locked="0"/>
    </xf>
    <xf numFmtId="164" fontId="6" fillId="43" borderId="20" xfId="0" applyNumberFormat="1" applyFont="1" applyFill="1" applyBorder="1" applyAlignment="1">
      <alignment horizontal="right" vertical="center" wrapText="1"/>
    </xf>
    <xf numFmtId="3" fontId="22" fillId="43" borderId="11" xfId="0" applyNumberFormat="1" applyFont="1" applyFill="1" applyBorder="1" applyAlignment="1">
      <alignment horizontal="center" vertical="center" wrapText="1"/>
    </xf>
    <xf numFmtId="3" fontId="6" fillId="43" borderId="20" xfId="0" applyNumberFormat="1" applyFont="1" applyFill="1" applyBorder="1" applyAlignment="1">
      <alignment horizontal="right" vertical="center" wrapText="1"/>
    </xf>
    <xf numFmtId="164" fontId="22" fillId="45" borderId="11" xfId="0" applyNumberFormat="1" applyFont="1" applyFill="1" applyBorder="1" applyAlignment="1">
      <alignment horizontal="center" vertical="center" wrapText="1"/>
    </xf>
    <xf numFmtId="3" fontId="4" fillId="43" borderId="20" xfId="0" applyNumberFormat="1" applyFont="1" applyFill="1" applyBorder="1" applyAlignment="1">
      <alignment horizontal="right" wrapText="1"/>
    </xf>
    <xf numFmtId="164" fontId="7" fillId="43" borderId="11" xfId="0" applyNumberFormat="1" applyFont="1" applyFill="1" applyBorder="1" applyAlignment="1">
      <alignment horizontal="center" wrapText="1"/>
    </xf>
    <xf numFmtId="164" fontId="4" fillId="43" borderId="23" xfId="0" applyNumberFormat="1" applyFont="1" applyFill="1" applyBorder="1" applyAlignment="1">
      <alignment horizontal="right" wrapText="1"/>
    </xf>
    <xf numFmtId="164" fontId="7" fillId="43" borderId="25" xfId="0" applyNumberFormat="1" applyFont="1" applyFill="1" applyBorder="1" applyAlignment="1">
      <alignment horizontal="center" wrapText="1"/>
    </xf>
    <xf numFmtId="0" fontId="5" fillId="44" borderId="0" xfId="0" applyFont="1" applyFill="1" applyAlignment="1">
      <alignment wrapText="1"/>
    </xf>
    <xf numFmtId="1" fontId="5" fillId="7" borderId="84" xfId="0" applyNumberFormat="1" applyFont="1" applyFill="1" applyBorder="1" applyAlignment="1" applyProtection="1">
      <alignment horizontal="center"/>
      <protection locked="0"/>
    </xf>
    <xf numFmtId="172" fontId="7" fillId="9" borderId="222" xfId="2" applyNumberFormat="1" applyFont="1" applyFill="1" applyBorder="1" applyAlignment="1">
      <alignment vertical="center"/>
    </xf>
    <xf numFmtId="171" fontId="55" fillId="9" borderId="77" xfId="2" applyNumberFormat="1" applyFont="1" applyFill="1" applyBorder="1" applyAlignment="1">
      <alignment horizontal="right" vertical="center"/>
    </xf>
    <xf numFmtId="169" fontId="14" fillId="44" borderId="2" xfId="0" applyNumberFormat="1" applyFont="1" applyFill="1" applyBorder="1" applyAlignment="1">
      <alignment horizontal="center" wrapText="1"/>
    </xf>
    <xf numFmtId="0" fontId="14" fillId="44" borderId="2" xfId="0" applyFont="1" applyFill="1" applyBorder="1" applyAlignment="1">
      <alignment horizontal="center" wrapText="1"/>
    </xf>
    <xf numFmtId="169" fontId="14" fillId="44" borderId="5" xfId="0" applyNumberFormat="1" applyFont="1" applyFill="1" applyBorder="1" applyAlignment="1">
      <alignment horizontal="center" wrapText="1"/>
    </xf>
    <xf numFmtId="169" fontId="14" fillId="44" borderId="57" xfId="0" applyNumberFormat="1" applyFont="1" applyFill="1" applyBorder="1" applyAlignment="1">
      <alignment horizontal="center" wrapText="1"/>
    </xf>
    <xf numFmtId="169" fontId="14" fillId="44" borderId="3" xfId="0" applyNumberFormat="1" applyFont="1" applyFill="1" applyBorder="1" applyAlignment="1">
      <alignment horizontal="center" wrapText="1"/>
    </xf>
    <xf numFmtId="169" fontId="14" fillId="44" borderId="58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57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58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0" fontId="5" fillId="44" borderId="2" xfId="0" applyFont="1" applyFill="1" applyBorder="1" applyAlignment="1">
      <alignment horizontal="center" wrapText="1"/>
    </xf>
    <xf numFmtId="0" fontId="5" fillId="7" borderId="84" xfId="0" applyFont="1" applyFill="1" applyBorder="1" applyAlignment="1">
      <alignment horizontal="center"/>
    </xf>
    <xf numFmtId="173" fontId="23" fillId="10" borderId="14" xfId="0" applyNumberFormat="1" applyFont="1" applyFill="1" applyBorder="1" applyAlignment="1" applyProtection="1">
      <alignment horizontal="center" vertical="center" wrapText="1"/>
      <protection locked="0"/>
    </xf>
    <xf numFmtId="170" fontId="5" fillId="7" borderId="13" xfId="0" applyNumberFormat="1" applyFont="1" applyFill="1" applyBorder="1" applyAlignment="1">
      <alignment horizontal="left" vertical="center"/>
    </xf>
    <xf numFmtId="0" fontId="55" fillId="0" borderId="77" xfId="2" applyFont="1" applyBorder="1" applyAlignment="1" applyProtection="1">
      <alignment horizontal="center" vertical="center"/>
      <protection locked="0"/>
    </xf>
    <xf numFmtId="0" fontId="55" fillId="0" borderId="78" xfId="2" applyFont="1" applyBorder="1" applyAlignment="1" applyProtection="1">
      <alignment horizontal="center" vertical="center"/>
      <protection locked="0"/>
    </xf>
    <xf numFmtId="1" fontId="55" fillId="9" borderId="77" xfId="2" applyNumberFormat="1" applyFont="1" applyFill="1" applyBorder="1" applyAlignment="1">
      <alignment vertical="center"/>
    </xf>
    <xf numFmtId="172" fontId="55" fillId="9" borderId="77" xfId="2" applyNumberFormat="1" applyFont="1" applyFill="1" applyBorder="1" applyAlignment="1">
      <alignment vertical="center" wrapText="1"/>
    </xf>
    <xf numFmtId="0" fontId="55" fillId="9" borderId="77" xfId="2" applyFont="1" applyFill="1" applyBorder="1" applyAlignment="1">
      <alignment horizontal="center" vertical="center"/>
    </xf>
    <xf numFmtId="0" fontId="21" fillId="9" borderId="0" xfId="2" applyFont="1" applyFill="1" applyAlignment="1" applyProtection="1">
      <alignment vertical="center"/>
      <protection locked="0"/>
    </xf>
    <xf numFmtId="0" fontId="5" fillId="9" borderId="72" xfId="2" applyFont="1" applyFill="1" applyBorder="1" applyAlignment="1">
      <alignment vertical="center"/>
    </xf>
    <xf numFmtId="14" fontId="5" fillId="9" borderId="77" xfId="2" applyNumberFormat="1" applyFont="1" applyFill="1" applyBorder="1" applyAlignment="1">
      <alignment horizontal="center" vertical="center"/>
    </xf>
    <xf numFmtId="14" fontId="5" fillId="9" borderId="224" xfId="2" applyNumberFormat="1" applyFont="1" applyFill="1" applyBorder="1" applyAlignment="1">
      <alignment horizontal="center" vertical="center"/>
    </xf>
    <xf numFmtId="0" fontId="55" fillId="9" borderId="0" xfId="2" applyFont="1" applyFill="1" applyAlignment="1">
      <alignment horizontal="center" vertical="center"/>
    </xf>
    <xf numFmtId="0" fontId="21" fillId="9" borderId="222" xfId="2" applyFont="1" applyFill="1" applyBorder="1" applyAlignment="1" applyProtection="1">
      <alignment vertical="center"/>
      <protection locked="0"/>
    </xf>
    <xf numFmtId="171" fontId="65" fillId="9" borderId="224" xfId="2" applyNumberFormat="1" applyFont="1" applyFill="1" applyBorder="1" applyAlignment="1">
      <alignment horizontal="right" vertical="center"/>
    </xf>
    <xf numFmtId="0" fontId="65" fillId="9" borderId="237" xfId="2" applyFont="1" applyFill="1" applyBorder="1" applyAlignment="1">
      <alignment horizontal="center" vertical="center"/>
    </xf>
    <xf numFmtId="1" fontId="55" fillId="9" borderId="77" xfId="2" applyNumberFormat="1" applyFont="1" applyFill="1" applyBorder="1" applyAlignment="1">
      <alignment horizontal="center" vertical="center"/>
    </xf>
    <xf numFmtId="171" fontId="55" fillId="9" borderId="15" xfId="2" applyNumberFormat="1" applyFont="1" applyFill="1" applyBorder="1" applyAlignment="1">
      <alignment horizontal="center" vertical="center"/>
    </xf>
    <xf numFmtId="171" fontId="21" fillId="0" borderId="77" xfId="2" applyNumberFormat="1" applyFont="1" applyBorder="1" applyAlignment="1" applyProtection="1">
      <alignment horizontal="right" vertical="center"/>
      <protection locked="0"/>
    </xf>
    <xf numFmtId="0" fontId="62" fillId="0" borderId="22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" fontId="5" fillId="43" borderId="254" xfId="0" applyNumberFormat="1" applyFont="1" applyFill="1" applyBorder="1" applyAlignment="1">
      <alignment horizontal="center" vertical="center"/>
    </xf>
    <xf numFmtId="0" fontId="61" fillId="0" borderId="22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1" fillId="0" borderId="25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1" fillId="0" borderId="24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3" xfId="0" applyFont="1" applyBorder="1" applyAlignment="1" applyProtection="1">
      <alignment horizontal="right" vertical="center" wrapText="1"/>
      <protection locked="0"/>
    </xf>
    <xf numFmtId="0" fontId="61" fillId="0" borderId="22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1" fillId="0" borderId="23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1" fillId="0" borderId="177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1" fillId="0" borderId="182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5" xfId="0" applyFont="1" applyBorder="1" applyAlignment="1" applyProtection="1">
      <alignment vertical="center" wrapText="1"/>
      <protection locked="0"/>
    </xf>
    <xf numFmtId="1" fontId="22" fillId="47" borderId="230" xfId="0" applyNumberFormat="1" applyFont="1" applyFill="1" applyBorder="1" applyAlignment="1">
      <alignment horizontal="center" vertical="center"/>
    </xf>
    <xf numFmtId="0" fontId="11" fillId="2" borderId="255" xfId="0" applyFont="1" applyFill="1" applyBorder="1" applyAlignment="1" applyProtection="1">
      <alignment horizontal="left" vertical="center"/>
      <protection locked="0"/>
    </xf>
    <xf numFmtId="0" fontId="11" fillId="2" borderId="87" xfId="0" applyFont="1" applyFill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49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47" borderId="256" xfId="0" applyFont="1" applyFill="1" applyBorder="1" applyAlignment="1" applyProtection="1">
      <alignment horizontal="center" wrapText="1"/>
      <protection locked="0"/>
    </xf>
    <xf numFmtId="0" fontId="2" fillId="48" borderId="257" xfId="0" applyFont="1" applyFill="1" applyBorder="1" applyAlignment="1" applyProtection="1">
      <alignment horizontal="center" wrapText="1"/>
      <protection locked="0"/>
    </xf>
    <xf numFmtId="0" fontId="7" fillId="43" borderId="15" xfId="0" applyFont="1" applyFill="1" applyBorder="1" applyAlignment="1">
      <alignment horizontal="center"/>
    </xf>
    <xf numFmtId="0" fontId="7" fillId="43" borderId="258" xfId="0" applyFont="1" applyFill="1" applyBorder="1" applyAlignment="1">
      <alignment horizontal="center"/>
    </xf>
    <xf numFmtId="0" fontId="1" fillId="43" borderId="89" xfId="0" applyFont="1" applyFill="1" applyBorder="1" applyAlignment="1" applyProtection="1">
      <alignment horizontal="center"/>
      <protection locked="0"/>
    </xf>
    <xf numFmtId="0" fontId="1" fillId="43" borderId="15" xfId="0" applyFont="1" applyFill="1" applyBorder="1" applyAlignment="1" applyProtection="1">
      <alignment horizontal="center"/>
      <protection locked="0"/>
    </xf>
    <xf numFmtId="0" fontId="2" fillId="48" borderId="256" xfId="0" applyFont="1" applyFill="1" applyBorder="1" applyAlignment="1" applyProtection="1">
      <alignment horizontal="center" wrapText="1"/>
      <protection locked="0"/>
    </xf>
    <xf numFmtId="0" fontId="2" fillId="41" borderId="257" xfId="0" applyFont="1" applyFill="1" applyBorder="1" applyAlignment="1" applyProtection="1">
      <alignment horizontal="center" wrapText="1"/>
      <protection locked="0"/>
    </xf>
    <xf numFmtId="0" fontId="2" fillId="2" borderId="15" xfId="0" applyFont="1" applyFill="1" applyBorder="1" applyAlignment="1" applyProtection="1">
      <alignment horizontal="center" wrapText="1"/>
      <protection locked="0"/>
    </xf>
    <xf numFmtId="0" fontId="7" fillId="2" borderId="259" xfId="0" applyFont="1" applyFill="1" applyBorder="1" applyAlignment="1">
      <alignment horizontal="center"/>
    </xf>
    <xf numFmtId="0" fontId="7" fillId="2" borderId="87" xfId="0" applyFont="1" applyFill="1" applyBorder="1" applyAlignment="1">
      <alignment horizontal="center"/>
    </xf>
    <xf numFmtId="0" fontId="7" fillId="2" borderId="197" xfId="0" applyFont="1" applyFill="1" applyBorder="1" applyAlignment="1">
      <alignment horizontal="center"/>
    </xf>
    <xf numFmtId="0" fontId="7" fillId="2" borderId="260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78" xfId="0" applyFont="1" applyFill="1" applyBorder="1" applyAlignment="1">
      <alignment horizontal="center"/>
    </xf>
    <xf numFmtId="5" fontId="7" fillId="2" borderId="197" xfId="0" applyNumberFormat="1" applyFont="1" applyFill="1" applyBorder="1" applyAlignment="1">
      <alignment horizontal="right"/>
    </xf>
    <xf numFmtId="0" fontId="2" fillId="41" borderId="256" xfId="0" applyFont="1" applyFill="1" applyBorder="1" applyAlignment="1" applyProtection="1">
      <alignment horizontal="center" wrapText="1"/>
      <protection locked="0"/>
    </xf>
    <xf numFmtId="0" fontId="2" fillId="49" borderId="257" xfId="0" applyFont="1" applyFill="1" applyBorder="1" applyAlignment="1" applyProtection="1">
      <alignment horizontal="center" wrapText="1"/>
      <protection locked="0"/>
    </xf>
    <xf numFmtId="0" fontId="2" fillId="49" borderId="256" xfId="0" applyFont="1" applyFill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8" fillId="0" borderId="15" xfId="0" applyFont="1" applyBorder="1" applyAlignment="1" applyProtection="1">
      <alignment wrapText="1"/>
      <protection locked="0"/>
    </xf>
    <xf numFmtId="0" fontId="6" fillId="5" borderId="2" xfId="0" applyFont="1" applyFill="1" applyBorder="1" applyAlignment="1" applyProtection="1">
      <alignment horizontal="left" vertical="center"/>
      <protection locked="0"/>
    </xf>
    <xf numFmtId="0" fontId="6" fillId="5" borderId="14" xfId="0" applyFont="1" applyFill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 applyProtection="1">
      <alignment vertical="center"/>
      <protection locked="0"/>
    </xf>
    <xf numFmtId="5" fontId="3" fillId="0" borderId="23" xfId="0" applyNumberFormat="1" applyFont="1" applyBorder="1" applyAlignment="1" applyProtection="1">
      <alignment horizontal="right" vertical="center" wrapText="1"/>
      <protection locked="0"/>
    </xf>
    <xf numFmtId="5" fontId="3" fillId="6" borderId="3" xfId="0" applyNumberFormat="1" applyFont="1" applyFill="1" applyBorder="1" applyAlignment="1" applyProtection="1">
      <alignment horizontal="right" vertical="center" wrapText="1"/>
      <protection locked="0"/>
    </xf>
    <xf numFmtId="5" fontId="3" fillId="0" borderId="3" xfId="0" applyNumberFormat="1" applyFont="1" applyBorder="1" applyAlignment="1" applyProtection="1">
      <alignment horizontal="right" vertical="center" wrapText="1"/>
      <protection locked="0"/>
    </xf>
    <xf numFmtId="5" fontId="3" fillId="5" borderId="28" xfId="0" applyNumberFormat="1" applyFont="1" applyFill="1" applyBorder="1" applyAlignment="1" applyProtection="1">
      <alignment horizontal="right" vertical="center" wrapText="1"/>
      <protection locked="0"/>
    </xf>
    <xf numFmtId="5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5" fontId="3" fillId="6" borderId="28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5" borderId="30" xfId="0" applyFont="1" applyFill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5" borderId="5" xfId="0" applyFont="1" applyFill="1" applyBorder="1" applyAlignment="1" applyProtection="1">
      <alignment vertical="center"/>
      <protection locked="0"/>
    </xf>
    <xf numFmtId="0" fontId="3" fillId="6" borderId="30" xfId="0" applyFont="1" applyFill="1" applyBorder="1" applyAlignment="1" applyProtection="1">
      <alignment vertical="center"/>
      <protection locked="0"/>
    </xf>
    <xf numFmtId="0" fontId="3" fillId="7" borderId="5" xfId="0" applyFont="1" applyFill="1" applyBorder="1" applyAlignment="1" applyProtection="1">
      <alignment vertical="center" wrapText="1"/>
      <protection locked="0"/>
    </xf>
    <xf numFmtId="0" fontId="6" fillId="7" borderId="5" xfId="0" applyFont="1" applyFill="1" applyBorder="1" applyAlignment="1" applyProtection="1">
      <alignment vertical="center" wrapText="1"/>
      <protection locked="0"/>
    </xf>
    <xf numFmtId="0" fontId="3" fillId="7" borderId="82" xfId="0" applyFont="1" applyFill="1" applyBorder="1" applyAlignment="1" applyProtection="1">
      <alignment vertical="center" wrapText="1"/>
      <protection locked="0"/>
    </xf>
    <xf numFmtId="0" fontId="12" fillId="2" borderId="89" xfId="0" applyFont="1" applyFill="1" applyBorder="1" applyAlignment="1" applyProtection="1">
      <alignment vertical="center" wrapText="1"/>
      <protection locked="0"/>
    </xf>
    <xf numFmtId="0" fontId="19" fillId="9" borderId="3" xfId="0" applyFont="1" applyFill="1" applyBorder="1" applyAlignment="1" applyProtection="1">
      <alignment horizontal="left" wrapText="1"/>
      <protection locked="0"/>
    </xf>
    <xf numFmtId="173" fontId="6" fillId="12" borderId="16" xfId="0" applyNumberFormat="1" applyFont="1" applyFill="1" applyBorder="1" applyAlignment="1" applyProtection="1">
      <alignment horizontal="center" vertical="center" wrapText="1"/>
      <protection locked="0"/>
    </xf>
    <xf numFmtId="173" fontId="14" fillId="12" borderId="14" xfId="0" applyNumberFormat="1" applyFont="1" applyFill="1" applyBorder="1" applyAlignment="1" applyProtection="1">
      <alignment horizontal="left" vertical="center" wrapText="1"/>
      <protection locked="0"/>
    </xf>
    <xf numFmtId="165" fontId="6" fillId="12" borderId="14" xfId="0" applyNumberFormat="1" applyFont="1" applyFill="1" applyBorder="1" applyAlignment="1" applyProtection="1">
      <alignment horizontal="left" vertical="center" wrapText="1"/>
      <protection locked="0"/>
    </xf>
    <xf numFmtId="165" fontId="6" fillId="12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7" borderId="13" xfId="0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left" vertical="center"/>
    </xf>
    <xf numFmtId="164" fontId="5" fillId="0" borderId="0" xfId="0" applyNumberFormat="1" applyFont="1" applyAlignment="1" applyProtection="1">
      <alignment vertical="top" wrapText="1"/>
      <protection locked="0"/>
    </xf>
    <xf numFmtId="0" fontId="15" fillId="0" borderId="49" xfId="0" applyFont="1" applyBorder="1" applyAlignment="1">
      <alignment vertical="top" readingOrder="1"/>
    </xf>
    <xf numFmtId="0" fontId="15" fillId="0" borderId="95" xfId="0" applyFont="1" applyBorder="1" applyAlignment="1">
      <alignment vertical="top" wrapText="1"/>
    </xf>
    <xf numFmtId="0" fontId="15" fillId="0" borderId="94" xfId="0" applyFont="1" applyBorder="1" applyAlignment="1">
      <alignment vertical="top" wrapText="1"/>
    </xf>
    <xf numFmtId="0" fontId="0" fillId="0" borderId="160" xfId="0" applyBorder="1" applyProtection="1">
      <protection locked="0"/>
    </xf>
    <xf numFmtId="0" fontId="0" fillId="0" borderId="161" xfId="0" applyBorder="1" applyAlignment="1" applyProtection="1">
      <alignment wrapText="1"/>
      <protection locked="0"/>
    </xf>
    <xf numFmtId="0" fontId="0" fillId="0" borderId="161" xfId="0" applyBorder="1" applyAlignment="1" applyProtection="1">
      <alignment horizontal="left" wrapText="1"/>
      <protection locked="0"/>
    </xf>
    <xf numFmtId="0" fontId="0" fillId="0" borderId="162" xfId="0" applyBorder="1" applyAlignment="1" applyProtection="1">
      <alignment horizontal="left" wrapText="1"/>
      <protection locked="0"/>
    </xf>
    <xf numFmtId="0" fontId="1" fillId="0" borderId="61" xfId="0" applyFont="1" applyBorder="1" applyAlignment="1" applyProtection="1">
      <alignment vertical="top" wrapText="1"/>
      <protection locked="0"/>
    </xf>
    <xf numFmtId="0" fontId="0" fillId="0" borderId="61" xfId="0" applyBorder="1" applyAlignment="1" applyProtection="1">
      <alignment vertical="top" wrapText="1"/>
      <protection locked="0"/>
    </xf>
    <xf numFmtId="0" fontId="1" fillId="0" borderId="164" xfId="0" applyFont="1" applyBorder="1" applyAlignment="1" applyProtection="1">
      <alignment vertical="top" wrapText="1"/>
      <protection locked="0"/>
    </xf>
    <xf numFmtId="0" fontId="1" fillId="0" borderId="165" xfId="0" applyFont="1" applyBorder="1" applyAlignment="1" applyProtection="1">
      <alignment vertical="top" wrapText="1"/>
      <protection locked="0"/>
    </xf>
    <xf numFmtId="0" fontId="4" fillId="0" borderId="0" xfId="2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0" borderId="107" xfId="0" applyFont="1" applyBorder="1" applyAlignment="1">
      <alignment horizontal="center" vertical="center"/>
    </xf>
    <xf numFmtId="0" fontId="25" fillId="0" borderId="107" xfId="0" applyFont="1" applyBorder="1" applyAlignment="1">
      <alignment horizontal="center" vertical="center"/>
    </xf>
    <xf numFmtId="0" fontId="25" fillId="0" borderId="111" xfId="0" applyFont="1" applyBorder="1" applyAlignment="1">
      <alignment horizontal="center" vertical="center"/>
    </xf>
    <xf numFmtId="1" fontId="25" fillId="0" borderId="115" xfId="0" applyNumberFormat="1" applyFont="1" applyBorder="1" applyAlignment="1">
      <alignment horizontal="center" vertical="center"/>
    </xf>
    <xf numFmtId="1" fontId="47" fillId="0" borderId="139" xfId="0" applyNumberFormat="1" applyFont="1" applyBorder="1" applyAlignment="1">
      <alignment horizontal="center" vertical="center"/>
    </xf>
    <xf numFmtId="1" fontId="25" fillId="0" borderId="139" xfId="0" applyNumberFormat="1" applyFont="1" applyBorder="1" applyAlignment="1">
      <alignment horizontal="center" vertical="center"/>
    </xf>
    <xf numFmtId="0" fontId="4" fillId="0" borderId="0" xfId="0" applyFont="1"/>
    <xf numFmtId="0" fontId="18" fillId="0" borderId="0" xfId="1" applyAlignment="1">
      <alignment wrapText="1"/>
    </xf>
    <xf numFmtId="172" fontId="21" fillId="9" borderId="78" xfId="2" applyNumberFormat="1" applyFont="1" applyFill="1" applyBorder="1" applyAlignment="1" applyProtection="1">
      <alignment vertical="center"/>
      <protection locked="0"/>
    </xf>
    <xf numFmtId="0" fontId="4" fillId="0" borderId="78" xfId="2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9" borderId="241" xfId="2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 applyProtection="1">
      <alignment horizontal="left" vertical="center" wrapText="1"/>
      <protection locked="0"/>
    </xf>
    <xf numFmtId="172" fontId="21" fillId="0" borderId="90" xfId="2" applyNumberFormat="1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center" textRotation="90" wrapText="1"/>
      <protection locked="0"/>
    </xf>
    <xf numFmtId="0" fontId="0" fillId="0" borderId="12" xfId="0" applyBorder="1" applyAlignment="1">
      <alignment horizontal="center" textRotation="90" wrapText="1"/>
    </xf>
    <xf numFmtId="0" fontId="2" fillId="0" borderId="12" xfId="0" applyFont="1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  <xf numFmtId="0" fontId="0" fillId="0" borderId="12" xfId="0" applyBorder="1" applyAlignment="1" applyProtection="1">
      <alignment horizontal="left"/>
      <protection locked="0"/>
    </xf>
    <xf numFmtId="0" fontId="0" fillId="0" borderId="184" xfId="0" applyBorder="1" applyAlignment="1" applyProtection="1">
      <alignment horizontal="left"/>
      <protection locked="0"/>
    </xf>
    <xf numFmtId="0" fontId="0" fillId="0" borderId="184" xfId="0" applyBorder="1" applyAlignment="1">
      <alignment horizontal="left"/>
    </xf>
    <xf numFmtId="0" fontId="0" fillId="0" borderId="11" xfId="0" applyBorder="1" applyAlignment="1" applyProtection="1">
      <alignment horizontal="left"/>
      <protection locked="0"/>
    </xf>
    <xf numFmtId="0" fontId="0" fillId="0" borderId="11" xfId="0" applyBorder="1" applyAlignment="1">
      <alignment horizontal="left"/>
    </xf>
    <xf numFmtId="0" fontId="1" fillId="2" borderId="184" xfId="0" applyFont="1" applyFill="1" applyBorder="1" applyAlignment="1" applyProtection="1">
      <alignment horizontal="right" textRotation="90" wrapText="1"/>
      <protection locked="0"/>
    </xf>
    <xf numFmtId="0" fontId="1" fillId="0" borderId="182" xfId="0" applyFont="1" applyBorder="1" applyAlignment="1">
      <alignment horizontal="right" textRotation="90" wrapText="1"/>
    </xf>
    <xf numFmtId="0" fontId="3" fillId="43" borderId="12" xfId="0" applyFont="1" applyFill="1" applyBorder="1" applyAlignment="1" applyProtection="1">
      <alignment horizontal="right" textRotation="90" wrapText="1"/>
      <protection locked="0"/>
    </xf>
    <xf numFmtId="0" fontId="3" fillId="0" borderId="22" xfId="0" applyFont="1" applyBorder="1" applyAlignment="1">
      <alignment horizontal="right" textRotation="90" wrapText="1"/>
    </xf>
    <xf numFmtId="0" fontId="3" fillId="49" borderId="195" xfId="0" applyFont="1" applyFill="1" applyBorder="1" applyAlignment="1" applyProtection="1">
      <alignment horizontal="center" vertical="top" wrapText="1"/>
      <protection locked="0"/>
    </xf>
    <xf numFmtId="0" fontId="0" fillId="0" borderId="65" xfId="0" applyBorder="1" applyAlignment="1">
      <alignment horizontal="center" vertical="top" wrapText="1"/>
    </xf>
    <xf numFmtId="0" fontId="0" fillId="0" borderId="64" xfId="0" applyBorder="1" applyAlignment="1">
      <alignment horizontal="center" vertical="top" wrapText="1"/>
    </xf>
    <xf numFmtId="165" fontId="66" fillId="12" borderId="14" xfId="0" applyNumberFormat="1" applyFont="1" applyFill="1" applyBorder="1" applyAlignment="1" applyProtection="1">
      <alignment horizontal="left" vertical="top" wrapText="1"/>
      <protection locked="0"/>
    </xf>
    <xf numFmtId="0" fontId="19" fillId="9" borderId="5" xfId="0" applyFont="1" applyFill="1" applyBorder="1" applyAlignment="1" applyProtection="1">
      <alignment horizontal="left" vertical="top"/>
      <protection locked="0"/>
    </xf>
    <xf numFmtId="165" fontId="66" fillId="9" borderId="14" xfId="0" applyNumberFormat="1" applyFont="1" applyFill="1" applyBorder="1" applyAlignment="1" applyProtection="1">
      <alignment horizontal="left" vertical="top" wrapText="1"/>
      <protection locked="0"/>
    </xf>
    <xf numFmtId="0" fontId="66" fillId="12" borderId="16" xfId="0" applyFont="1" applyFill="1" applyBorder="1" applyAlignment="1" applyProtection="1">
      <alignment horizontal="left" vertical="center" wrapText="1"/>
      <protection locked="0"/>
    </xf>
    <xf numFmtId="0" fontId="19" fillId="9" borderId="4" xfId="0" applyFont="1" applyFill="1" applyBorder="1" applyAlignment="1" applyProtection="1">
      <alignment horizontal="left" vertical="center" wrapText="1"/>
      <protection locked="0"/>
    </xf>
    <xf numFmtId="165" fontId="66" fillId="12" borderId="14" xfId="0" applyNumberFormat="1" applyFont="1" applyFill="1" applyBorder="1" applyAlignment="1" applyProtection="1">
      <alignment horizontal="left" vertical="center"/>
      <protection locked="0"/>
    </xf>
    <xf numFmtId="0" fontId="19" fillId="9" borderId="5" xfId="0" applyFont="1" applyFill="1" applyBorder="1" applyAlignment="1" applyProtection="1">
      <alignment horizontal="left" vertical="center"/>
      <protection locked="0"/>
    </xf>
    <xf numFmtId="1" fontId="5" fillId="47" borderId="213" xfId="0" applyNumberFormat="1" applyFont="1" applyFill="1" applyBorder="1" applyAlignment="1" applyProtection="1">
      <alignment horizontal="center" vertical="top" wrapText="1"/>
      <protection locked="0"/>
    </xf>
    <xf numFmtId="0" fontId="0" fillId="0" borderId="62" xfId="0" applyBorder="1" applyAlignment="1">
      <alignment horizontal="center" vertical="top" wrapText="1"/>
    </xf>
    <xf numFmtId="0" fontId="0" fillId="0" borderId="186" xfId="0" applyBorder="1" applyAlignment="1">
      <alignment horizontal="center" vertical="top" wrapText="1"/>
    </xf>
    <xf numFmtId="0" fontId="3" fillId="40" borderId="195" xfId="0" applyFont="1" applyFill="1" applyBorder="1" applyAlignment="1" applyProtection="1">
      <alignment horizontal="center" vertical="top" wrapText="1"/>
      <protection locked="0"/>
    </xf>
    <xf numFmtId="0" fontId="3" fillId="48" borderId="195" xfId="0" applyFont="1" applyFill="1" applyBorder="1" applyAlignment="1" applyProtection="1">
      <alignment horizontal="right" vertical="top" wrapText="1"/>
      <protection locked="0"/>
    </xf>
    <xf numFmtId="0" fontId="0" fillId="0" borderId="65" xfId="0" applyBorder="1" applyAlignment="1">
      <alignment horizontal="right" vertical="top" wrapText="1"/>
    </xf>
    <xf numFmtId="0" fontId="0" fillId="0" borderId="64" xfId="0" applyBorder="1" applyAlignment="1">
      <alignment horizontal="right" vertical="top" wrapText="1"/>
    </xf>
    <xf numFmtId="0" fontId="17" fillId="0" borderId="185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1" fontId="2" fillId="20" borderId="0" xfId="0" applyNumberFormat="1" applyFont="1" applyFill="1" applyAlignment="1">
      <alignment horizontal="center" wrapText="1"/>
    </xf>
    <xf numFmtId="9" fontId="2" fillId="20" borderId="0" xfId="0" applyNumberFormat="1" applyFont="1" applyFill="1" applyAlignment="1">
      <alignment horizontal="center" wrapText="1"/>
    </xf>
    <xf numFmtId="0" fontId="3" fillId="10" borderId="0" xfId="0" applyFont="1" applyFill="1" applyAlignment="1" applyProtection="1">
      <alignment horizontal="left" vertical="top" wrapText="1"/>
      <protection locked="0"/>
    </xf>
    <xf numFmtId="0" fontId="3" fillId="12" borderId="14" xfId="0" applyFont="1" applyFill="1" applyBorder="1" applyAlignment="1" applyProtection="1">
      <alignment horizontal="left" vertical="center" wrapText="1"/>
      <protection locked="0"/>
    </xf>
    <xf numFmtId="0" fontId="2" fillId="48" borderId="203" xfId="0" applyFont="1" applyFill="1" applyBorder="1" applyAlignment="1" applyProtection="1">
      <alignment horizontal="left" vertical="top"/>
      <protection locked="0"/>
    </xf>
    <xf numFmtId="0" fontId="0" fillId="48" borderId="203" xfId="0" applyFill="1" applyBorder="1" applyAlignment="1" applyProtection="1">
      <alignment wrapText="1"/>
      <protection locked="0"/>
    </xf>
    <xf numFmtId="0" fontId="2" fillId="10" borderId="3" xfId="0" applyFont="1" applyFill="1" applyBorder="1" applyAlignment="1" applyProtection="1">
      <alignment horizontal="left" vertical="center" wrapText="1"/>
      <protection locked="0"/>
    </xf>
    <xf numFmtId="0" fontId="2" fillId="10" borderId="5" xfId="0" applyFont="1" applyFill="1" applyBorder="1" applyAlignment="1" applyProtection="1">
      <alignment horizontal="left" vertical="center" wrapText="1"/>
      <protection locked="0"/>
    </xf>
    <xf numFmtId="0" fontId="2" fillId="10" borderId="211" xfId="0" applyFont="1" applyFill="1" applyBorder="1" applyAlignment="1" applyProtection="1">
      <alignment horizontal="left" vertical="center" wrapText="1"/>
      <protection locked="0"/>
    </xf>
    <xf numFmtId="0" fontId="2" fillId="10" borderId="212" xfId="0" applyFont="1" applyFill="1" applyBorder="1" applyAlignment="1" applyProtection="1">
      <alignment horizontal="left" vertical="center" wrapText="1"/>
      <protection locked="0"/>
    </xf>
    <xf numFmtId="0" fontId="18" fillId="50" borderId="14" xfId="1" applyFill="1" applyBorder="1" applyAlignment="1" applyProtection="1">
      <alignment horizontal="left" vertical="top" wrapText="1"/>
    </xf>
    <xf numFmtId="0" fontId="3" fillId="50" borderId="14" xfId="0" applyFont="1" applyFill="1" applyBorder="1" applyAlignment="1">
      <alignment horizontal="left" vertical="top" wrapText="1"/>
    </xf>
    <xf numFmtId="0" fontId="3" fillId="12" borderId="16" xfId="0" quotePrefix="1" applyFont="1" applyFill="1" applyBorder="1" applyAlignment="1">
      <alignment horizontal="left" vertical="center" wrapText="1"/>
    </xf>
    <xf numFmtId="0" fontId="3" fillId="12" borderId="16" xfId="0" applyFont="1" applyFill="1" applyBorder="1" applyAlignment="1">
      <alignment horizontal="left" vertical="center" wrapText="1"/>
    </xf>
    <xf numFmtId="0" fontId="1" fillId="9" borderId="81" xfId="0" applyFont="1" applyFill="1" applyBorder="1" applyAlignment="1">
      <alignment vertical="center"/>
    </xf>
    <xf numFmtId="0" fontId="3" fillId="0" borderId="184" xfId="0" applyFont="1" applyBorder="1" applyAlignment="1" applyProtection="1">
      <alignment horizontal="center" textRotation="90" wrapText="1"/>
      <protection locked="0"/>
    </xf>
    <xf numFmtId="0" fontId="0" fillId="0" borderId="182" xfId="0" applyBorder="1" applyAlignment="1">
      <alignment horizontal="center" textRotation="90" wrapText="1"/>
    </xf>
    <xf numFmtId="0" fontId="3" fillId="0" borderId="180" xfId="0" applyFont="1" applyBorder="1" applyAlignment="1" applyProtection="1">
      <alignment horizontal="center" textRotation="90" wrapText="1"/>
      <protection locked="0"/>
    </xf>
    <xf numFmtId="0" fontId="0" fillId="0" borderId="177" xfId="0" applyBorder="1" applyAlignment="1">
      <alignment horizontal="center" textRotation="90" wrapText="1"/>
    </xf>
    <xf numFmtId="0" fontId="3" fillId="0" borderId="20" xfId="0" applyFont="1" applyBorder="1" applyAlignment="1" applyProtection="1">
      <alignment horizontal="center" textRotation="90" wrapText="1"/>
      <protection locked="0"/>
    </xf>
    <xf numFmtId="0" fontId="0" fillId="0" borderId="23" xfId="0" applyBorder="1" applyAlignment="1">
      <alignment horizontal="center" textRotation="90" wrapText="1"/>
    </xf>
    <xf numFmtId="0" fontId="3" fillId="0" borderId="209" xfId="0" applyFont="1" applyBorder="1" applyAlignment="1" applyProtection="1">
      <alignment horizontal="center" textRotation="90" wrapText="1"/>
      <protection locked="0"/>
    </xf>
    <xf numFmtId="0" fontId="0" fillId="0" borderId="178" xfId="0" applyBorder="1" applyAlignment="1">
      <alignment horizontal="center" textRotation="90" wrapText="1"/>
    </xf>
    <xf numFmtId="0" fontId="0" fillId="0" borderId="22" xfId="0" applyBorder="1" applyAlignment="1">
      <alignment horizontal="center" textRotation="90" wrapText="1"/>
    </xf>
    <xf numFmtId="0" fontId="3" fillId="44" borderId="12" xfId="0" applyFont="1" applyFill="1" applyBorder="1" applyAlignment="1" applyProtection="1">
      <alignment horizontal="center" textRotation="90" wrapText="1"/>
      <protection locked="0"/>
    </xf>
    <xf numFmtId="0" fontId="3" fillId="44" borderId="59" xfId="0" applyFont="1" applyFill="1" applyBorder="1" applyAlignment="1" applyProtection="1">
      <alignment horizontal="center" textRotation="90" wrapText="1"/>
      <protection locked="0"/>
    </xf>
    <xf numFmtId="0" fontId="3" fillId="43" borderId="20" xfId="0" applyFont="1" applyFill="1" applyBorder="1" applyAlignment="1" applyProtection="1">
      <alignment horizontal="left" wrapText="1"/>
      <protection locked="0"/>
    </xf>
    <xf numFmtId="0" fontId="0" fillId="44" borderId="20" xfId="0" applyFill="1" applyBorder="1" applyAlignment="1" applyProtection="1">
      <alignment horizontal="left" wrapText="1"/>
      <protection locked="0"/>
    </xf>
    <xf numFmtId="0" fontId="3" fillId="2" borderId="6" xfId="0" applyFont="1" applyFill="1" applyBorder="1" applyAlignment="1" applyProtection="1">
      <alignment horizontal="right" textRotation="90" wrapText="1"/>
      <protection locked="0"/>
    </xf>
    <xf numFmtId="0" fontId="0" fillId="0" borderId="6" xfId="0" applyBorder="1" applyAlignment="1" applyProtection="1">
      <alignment horizontal="right" textRotation="90" wrapText="1"/>
      <protection locked="0"/>
    </xf>
    <xf numFmtId="0" fontId="0" fillId="0" borderId="173" xfId="0" applyBorder="1" applyAlignment="1" applyProtection="1">
      <alignment horizontal="right" textRotation="90" wrapText="1"/>
      <protection locked="0"/>
    </xf>
    <xf numFmtId="0" fontId="3" fillId="14" borderId="180" xfId="0" applyFont="1" applyFill="1" applyBorder="1" applyAlignment="1" applyProtection="1">
      <alignment horizontal="right" textRotation="90" wrapText="1"/>
      <protection locked="0"/>
    </xf>
    <xf numFmtId="0" fontId="0" fillId="0" borderId="180" xfId="0" applyBorder="1" applyAlignment="1" applyProtection="1">
      <alignment horizontal="right" textRotation="90" wrapText="1"/>
      <protection locked="0"/>
    </xf>
    <xf numFmtId="0" fontId="0" fillId="0" borderId="177" xfId="0" applyBorder="1" applyAlignment="1" applyProtection="1">
      <alignment horizontal="right" textRotation="90" wrapText="1"/>
      <protection locked="0"/>
    </xf>
    <xf numFmtId="0" fontId="3" fillId="14" borderId="12" xfId="0" applyFont="1" applyFill="1" applyBorder="1" applyAlignment="1" applyProtection="1">
      <alignment horizontal="right" textRotation="90" wrapText="1"/>
      <protection locked="0"/>
    </xf>
    <xf numFmtId="0" fontId="0" fillId="0" borderId="12" xfId="0" applyBorder="1" applyAlignment="1" applyProtection="1">
      <alignment horizontal="right" textRotation="90" wrapText="1"/>
      <protection locked="0"/>
    </xf>
    <xf numFmtId="0" fontId="0" fillId="0" borderId="22" xfId="0" applyBorder="1" applyAlignment="1" applyProtection="1">
      <alignment horizontal="right" textRotation="90" wrapText="1"/>
      <protection locked="0"/>
    </xf>
    <xf numFmtId="0" fontId="3" fillId="14" borderId="20" xfId="0" applyFont="1" applyFill="1" applyBorder="1" applyAlignment="1" applyProtection="1">
      <alignment horizontal="right" textRotation="90" wrapText="1"/>
      <protection locked="0"/>
    </xf>
    <xf numFmtId="0" fontId="0" fillId="0" borderId="20" xfId="0" applyBorder="1" applyAlignment="1" applyProtection="1">
      <alignment horizontal="right" textRotation="90" wrapText="1"/>
      <protection locked="0"/>
    </xf>
    <xf numFmtId="0" fontId="0" fillId="0" borderId="23" xfId="0" applyBorder="1" applyAlignment="1" applyProtection="1">
      <alignment horizontal="right" textRotation="90" wrapText="1"/>
      <protection locked="0"/>
    </xf>
    <xf numFmtId="0" fontId="3" fillId="14" borderId="184" xfId="0" applyFont="1" applyFill="1" applyBorder="1" applyAlignment="1" applyProtection="1">
      <alignment horizontal="right" textRotation="90" wrapText="1"/>
      <protection locked="0"/>
    </xf>
    <xf numFmtId="0" fontId="0" fillId="0" borderId="184" xfId="0" applyBorder="1" applyAlignment="1" applyProtection="1">
      <alignment horizontal="right" textRotation="90" wrapText="1"/>
      <protection locked="0"/>
    </xf>
    <xf numFmtId="0" fontId="0" fillId="0" borderId="182" xfId="0" applyBorder="1" applyAlignment="1" applyProtection="1">
      <alignment horizontal="right" textRotation="90" wrapText="1"/>
      <protection locked="0"/>
    </xf>
    <xf numFmtId="0" fontId="3" fillId="43" borderId="12" xfId="0" applyFont="1" applyFill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>
      <alignment horizontal="left" vertical="top" wrapText="1"/>
    </xf>
    <xf numFmtId="0" fontId="3" fillId="0" borderId="18" xfId="0" applyFont="1" applyBorder="1" applyAlignment="1" applyProtection="1">
      <alignment horizontal="center" textRotation="90" wrapText="1"/>
      <protection locked="0"/>
    </xf>
    <xf numFmtId="0" fontId="0" fillId="0" borderId="18" xfId="0" applyBorder="1" applyAlignment="1">
      <alignment horizontal="center" textRotation="90" wrapText="1"/>
    </xf>
    <xf numFmtId="0" fontId="3" fillId="0" borderId="47" xfId="0" applyFont="1" applyBorder="1" applyAlignment="1" applyProtection="1">
      <alignment horizontal="center" textRotation="90" wrapText="1"/>
      <protection locked="0"/>
    </xf>
    <xf numFmtId="0" fontId="0" fillId="0" borderId="47" xfId="0" applyBorder="1" applyAlignment="1">
      <alignment horizontal="center" textRotation="90" wrapText="1"/>
    </xf>
    <xf numFmtId="0" fontId="20" fillId="47" borderId="160" xfId="0" applyFont="1" applyFill="1" applyBorder="1" applyAlignment="1" applyProtection="1">
      <alignment horizontal="left" vertical="center"/>
      <protection locked="0"/>
    </xf>
    <xf numFmtId="0" fontId="20" fillId="47" borderId="161" xfId="0" applyFont="1" applyFill="1" applyBorder="1" applyAlignment="1" applyProtection="1">
      <alignment horizontal="left" vertical="center"/>
      <protection locked="0"/>
    </xf>
    <xf numFmtId="0" fontId="2" fillId="40" borderId="205" xfId="0" applyFont="1" applyFill="1" applyBorder="1" applyAlignment="1" applyProtection="1">
      <alignment horizontal="center" vertical="top"/>
      <protection locked="0"/>
    </xf>
    <xf numFmtId="0" fontId="2" fillId="40" borderId="202" xfId="0" applyFont="1" applyFill="1" applyBorder="1" applyAlignment="1" applyProtection="1">
      <alignment horizontal="center" vertical="top"/>
      <protection locked="0"/>
    </xf>
    <xf numFmtId="0" fontId="3" fillId="0" borderId="208" xfId="0" applyFont="1" applyBorder="1" applyAlignment="1" applyProtection="1">
      <alignment horizontal="left" vertical="top" textRotation="90" wrapText="1"/>
      <protection locked="0"/>
    </xf>
    <xf numFmtId="0" fontId="3" fillId="0" borderId="210" xfId="0" applyFont="1" applyBorder="1" applyAlignment="1" applyProtection="1">
      <alignment horizontal="left" vertical="top" textRotation="90" wrapText="1"/>
      <protection locked="0"/>
    </xf>
    <xf numFmtId="0" fontId="3" fillId="0" borderId="0" xfId="0" applyFont="1" applyAlignment="1" applyProtection="1">
      <alignment horizontal="left" textRotation="90" wrapText="1"/>
      <protection locked="0"/>
    </xf>
    <xf numFmtId="0" fontId="3" fillId="0" borderId="26" xfId="0" applyFont="1" applyBorder="1" applyAlignment="1" applyProtection="1">
      <alignment horizontal="left" textRotation="90" wrapText="1"/>
      <protection locked="0"/>
    </xf>
    <xf numFmtId="0" fontId="2" fillId="2" borderId="173" xfId="0" applyFont="1" applyFill="1" applyBorder="1" applyAlignment="1" applyProtection="1">
      <alignment horizontal="left" vertical="top"/>
      <protection locked="0"/>
    </xf>
    <xf numFmtId="0" fontId="2" fillId="2" borderId="26" xfId="0" applyFont="1" applyFill="1" applyBorder="1" applyAlignment="1" applyProtection="1">
      <alignment horizontal="left" vertical="top"/>
      <protection locked="0"/>
    </xf>
    <xf numFmtId="0" fontId="2" fillId="2" borderId="25" xfId="0" applyFont="1" applyFill="1" applyBorder="1" applyAlignment="1" applyProtection="1">
      <alignment horizontal="left" vertical="top"/>
      <protection locked="0"/>
    </xf>
    <xf numFmtId="0" fontId="20" fillId="47" borderId="218" xfId="0" applyFont="1" applyFill="1" applyBorder="1" applyAlignment="1" applyProtection="1">
      <alignment horizontal="left" vertical="center"/>
      <protection locked="0"/>
    </xf>
    <xf numFmtId="0" fontId="20" fillId="47" borderId="219" xfId="0" applyFont="1" applyFill="1" applyBorder="1" applyAlignment="1" applyProtection="1">
      <alignment horizontal="left" vertical="center"/>
      <protection locked="0"/>
    </xf>
    <xf numFmtId="0" fontId="2" fillId="40" borderId="207" xfId="0" applyFont="1" applyFill="1" applyBorder="1" applyAlignment="1" applyProtection="1">
      <alignment horizontal="center" vertical="top"/>
      <protection locked="0"/>
    </xf>
    <xf numFmtId="0" fontId="2" fillId="40" borderId="203" xfId="0" applyFont="1" applyFill="1" applyBorder="1" applyAlignment="1" applyProtection="1">
      <alignment horizontal="center" vertical="top"/>
      <protection locked="0"/>
    </xf>
    <xf numFmtId="0" fontId="2" fillId="49" borderId="203" xfId="0" applyFont="1" applyFill="1" applyBorder="1" applyAlignment="1" applyProtection="1">
      <alignment horizontal="left"/>
      <protection locked="0"/>
    </xf>
    <xf numFmtId="0" fontId="0" fillId="49" borderId="203" xfId="0" applyFill="1" applyBorder="1" applyAlignment="1" applyProtection="1">
      <alignment wrapText="1"/>
      <protection locked="0"/>
    </xf>
    <xf numFmtId="0" fontId="3" fillId="0" borderId="209" xfId="0" applyFont="1" applyBorder="1" applyAlignment="1" applyProtection="1">
      <alignment horizontal="left" textRotation="90" wrapText="1"/>
      <protection locked="0"/>
    </xf>
    <xf numFmtId="0" fontId="3" fillId="0" borderId="178" xfId="0" applyFont="1" applyBorder="1" applyAlignment="1" applyProtection="1">
      <alignment horizontal="left" textRotation="90" wrapText="1"/>
      <protection locked="0"/>
    </xf>
    <xf numFmtId="0" fontId="3" fillId="0" borderId="208" xfId="0" applyFont="1" applyBorder="1" applyAlignment="1" applyProtection="1">
      <alignment horizontal="left" textRotation="90" wrapText="1"/>
      <protection locked="0"/>
    </xf>
    <xf numFmtId="0" fontId="3" fillId="0" borderId="210" xfId="0" applyFont="1" applyBorder="1" applyAlignment="1" applyProtection="1">
      <alignment horizontal="left" textRotation="90" wrapText="1"/>
      <protection locked="0"/>
    </xf>
    <xf numFmtId="0" fontId="3" fillId="0" borderId="7" xfId="0" applyFont="1" applyBorder="1" applyAlignment="1" applyProtection="1">
      <alignment horizontal="left" textRotation="90" wrapText="1"/>
      <protection locked="0"/>
    </xf>
    <xf numFmtId="0" fontId="3" fillId="0" borderId="188" xfId="0" applyFont="1" applyBorder="1" applyAlignment="1" applyProtection="1">
      <alignment horizontal="left" textRotation="90" wrapText="1"/>
      <protection locked="0"/>
    </xf>
    <xf numFmtId="0" fontId="1" fillId="0" borderId="2" xfId="0" quotePrefix="1" applyFont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 vertical="top" wrapText="1"/>
    </xf>
    <xf numFmtId="0" fontId="0" fillId="0" borderId="163" xfId="0" applyBorder="1" applyAlignment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165" xfId="0" applyFont="1" applyBorder="1" applyAlignment="1" applyProtection="1">
      <alignment horizontal="left" vertical="top" wrapText="1"/>
      <protection locked="0"/>
    </xf>
    <xf numFmtId="0" fontId="0" fillId="0" borderId="165" xfId="0" applyBorder="1" applyAlignment="1">
      <alignment horizontal="left" vertical="top" wrapText="1"/>
    </xf>
    <xf numFmtId="0" fontId="0" fillId="0" borderId="166" xfId="0" applyBorder="1" applyAlignment="1">
      <alignment horizontal="left" vertical="top" wrapText="1"/>
    </xf>
    <xf numFmtId="0" fontId="4" fillId="0" borderId="237" xfId="2" applyBorder="1" applyAlignment="1" applyProtection="1">
      <alignment horizontal="center" vertical="center"/>
      <protection locked="0"/>
    </xf>
    <xf numFmtId="0" fontId="4" fillId="0" borderId="238" xfId="2" applyBorder="1" applyAlignment="1" applyProtection="1">
      <alignment horizontal="center" vertical="center"/>
      <protection locked="0"/>
    </xf>
    <xf numFmtId="0" fontId="21" fillId="9" borderId="158" xfId="2" applyFont="1" applyFill="1" applyBorder="1" applyAlignment="1" applyProtection="1">
      <alignment horizontal="center" vertical="center"/>
      <protection locked="0"/>
    </xf>
    <xf numFmtId="0" fontId="21" fillId="9" borderId="71" xfId="2" applyFont="1" applyFill="1" applyBorder="1" applyAlignment="1" applyProtection="1">
      <alignment horizontal="center" vertical="center"/>
      <protection locked="0"/>
    </xf>
    <xf numFmtId="0" fontId="21" fillId="9" borderId="159" xfId="2" applyFont="1" applyFill="1" applyBorder="1" applyAlignment="1" applyProtection="1">
      <alignment horizontal="center" vertical="center"/>
      <protection locked="0"/>
    </xf>
    <xf numFmtId="172" fontId="21" fillId="9" borderId="158" xfId="2" applyNumberFormat="1" applyFont="1" applyFill="1" applyBorder="1" applyAlignment="1" applyProtection="1">
      <alignment horizontal="right" vertical="center"/>
      <protection locked="0"/>
    </xf>
    <xf numFmtId="172" fontId="21" fillId="9" borderId="235" xfId="2" applyNumberFormat="1" applyFont="1" applyFill="1" applyBorder="1" applyAlignment="1" applyProtection="1">
      <alignment horizontal="right" vertical="center"/>
      <protection locked="0"/>
    </xf>
    <xf numFmtId="172" fontId="53" fillId="9" borderId="15" xfId="2" applyNumberFormat="1" applyFont="1" applyFill="1" applyBorder="1" applyAlignment="1" applyProtection="1">
      <alignment horizontal="center" vertical="center"/>
      <protection locked="0"/>
    </xf>
    <xf numFmtId="172" fontId="53" fillId="9" borderId="79" xfId="2" applyNumberFormat="1" applyFont="1" applyFill="1" applyBorder="1" applyAlignment="1" applyProtection="1">
      <alignment horizontal="center" vertical="center"/>
      <protection locked="0"/>
    </xf>
    <xf numFmtId="172" fontId="21" fillId="9" borderId="78" xfId="2" applyNumberFormat="1" applyFont="1" applyFill="1" applyBorder="1" applyAlignment="1" applyProtection="1">
      <alignment horizontal="right" vertical="center"/>
      <protection locked="0"/>
    </xf>
    <xf numFmtId="172" fontId="21" fillId="9" borderId="226" xfId="2" applyNumberFormat="1" applyFont="1" applyFill="1" applyBorder="1" applyAlignment="1" applyProtection="1">
      <alignment horizontal="right" vertical="center"/>
      <protection locked="0"/>
    </xf>
    <xf numFmtId="172" fontId="21" fillId="9" borderId="15" xfId="2" applyNumberFormat="1" applyFont="1" applyFill="1" applyBorder="1" applyAlignment="1" applyProtection="1">
      <alignment horizontal="center" vertical="center"/>
      <protection locked="0"/>
    </xf>
    <xf numFmtId="172" fontId="21" fillId="9" borderId="79" xfId="2" applyNumberFormat="1" applyFont="1" applyFill="1" applyBorder="1" applyAlignment="1" applyProtection="1">
      <alignment horizontal="center" vertical="center"/>
      <protection locked="0"/>
    </xf>
    <xf numFmtId="172" fontId="55" fillId="9" borderId="78" xfId="2" applyNumberFormat="1" applyFont="1" applyFill="1" applyBorder="1" applyAlignment="1">
      <alignment horizontal="right" vertical="center"/>
    </xf>
    <xf numFmtId="172" fontId="55" fillId="9" borderId="226" xfId="2" applyNumberFormat="1" applyFont="1" applyFill="1" applyBorder="1" applyAlignment="1">
      <alignment horizontal="right" vertical="center"/>
    </xf>
    <xf numFmtId="0" fontId="20" fillId="9" borderId="220" xfId="2" applyFont="1" applyFill="1" applyBorder="1" applyAlignment="1" applyProtection="1">
      <alignment vertical="center"/>
      <protection locked="0"/>
    </xf>
    <xf numFmtId="0" fontId="62" fillId="9" borderId="202" xfId="0" applyFont="1" applyFill="1" applyBorder="1" applyAlignment="1">
      <alignment vertical="center"/>
    </xf>
    <xf numFmtId="0" fontId="4" fillId="0" borderId="78" xfId="2" applyBorder="1" applyAlignment="1" applyProtection="1">
      <alignment horizontal="center" vertical="center"/>
      <protection locked="0"/>
    </xf>
    <xf numFmtId="0" fontId="4" fillId="0" borderId="15" xfId="2" applyBorder="1" applyAlignment="1" applyProtection="1">
      <alignment horizontal="center" vertical="center"/>
      <protection locked="0"/>
    </xf>
    <xf numFmtId="0" fontId="4" fillId="0" borderId="226" xfId="2" applyBorder="1" applyAlignment="1" applyProtection="1">
      <alignment horizontal="center" vertical="center"/>
      <protection locked="0"/>
    </xf>
    <xf numFmtId="0" fontId="4" fillId="9" borderId="223" xfId="2" applyFill="1" applyBorder="1" applyAlignment="1" applyProtection="1">
      <alignment horizontal="left" vertical="center"/>
      <protection locked="0"/>
    </xf>
    <xf numFmtId="0" fontId="4" fillId="9" borderId="234" xfId="2" applyFill="1" applyBorder="1" applyAlignment="1" applyProtection="1">
      <alignment horizontal="left" vertical="center"/>
      <protection locked="0"/>
    </xf>
    <xf numFmtId="0" fontId="4" fillId="9" borderId="90" xfId="2" applyFill="1" applyBorder="1" applyAlignment="1" applyProtection="1">
      <alignment horizontal="center" vertical="center"/>
      <protection locked="0"/>
    </xf>
    <xf numFmtId="0" fontId="4" fillId="9" borderId="91" xfId="2" applyFill="1" applyBorder="1" applyAlignment="1" applyProtection="1">
      <alignment horizontal="center" vertical="center"/>
      <protection locked="0"/>
    </xf>
    <xf numFmtId="0" fontId="5" fillId="0" borderId="72" xfId="2" applyFont="1" applyBorder="1" applyAlignment="1" applyProtection="1">
      <alignment horizontal="center" vertical="center"/>
      <protection locked="0"/>
    </xf>
    <xf numFmtId="0" fontId="5" fillId="0" borderId="73" xfId="2" applyFont="1" applyBorder="1" applyAlignment="1" applyProtection="1">
      <alignment horizontal="center" vertical="center"/>
      <protection locked="0"/>
    </xf>
    <xf numFmtId="0" fontId="5" fillId="0" borderId="75" xfId="2" applyFont="1" applyBorder="1" applyAlignment="1" applyProtection="1">
      <alignment horizontal="center" vertical="center"/>
      <protection locked="0"/>
    </xf>
    <xf numFmtId="0" fontId="5" fillId="0" borderId="33" xfId="2" applyFont="1" applyBorder="1" applyAlignment="1" applyProtection="1">
      <alignment horizontal="center" vertical="center"/>
      <protection locked="0"/>
    </xf>
    <xf numFmtId="0" fontId="5" fillId="0" borderId="73" xfId="2" applyFont="1" applyBorder="1" applyAlignment="1" applyProtection="1">
      <alignment horizontal="left" vertical="center"/>
      <protection locked="0"/>
    </xf>
    <xf numFmtId="0" fontId="5" fillId="0" borderId="228" xfId="2" applyFont="1" applyBorder="1" applyAlignment="1" applyProtection="1">
      <alignment horizontal="left" vertical="center"/>
      <protection locked="0"/>
    </xf>
    <xf numFmtId="0" fontId="5" fillId="0" borderId="33" xfId="2" applyFont="1" applyBorder="1" applyAlignment="1" applyProtection="1">
      <alignment horizontal="left" vertical="center"/>
      <protection locked="0"/>
    </xf>
    <xf numFmtId="0" fontId="5" fillId="0" borderId="229" xfId="2" applyFont="1" applyBorder="1" applyAlignment="1" applyProtection="1">
      <alignment horizontal="left" vertical="center"/>
      <protection locked="0"/>
    </xf>
    <xf numFmtId="0" fontId="4" fillId="9" borderId="157" xfId="2" applyFill="1" applyBorder="1" applyAlignment="1" applyProtection="1">
      <alignment horizontal="center" vertical="center"/>
      <protection locked="0"/>
    </xf>
    <xf numFmtId="0" fontId="12" fillId="9" borderId="157" xfId="2" applyFont="1" applyFill="1" applyBorder="1" applyAlignment="1" applyProtection="1">
      <alignment horizontal="center" vertical="center"/>
      <protection locked="0"/>
    </xf>
    <xf numFmtId="172" fontId="7" fillId="9" borderId="157" xfId="2" applyNumberFormat="1" applyFont="1" applyFill="1" applyBorder="1" applyAlignment="1">
      <alignment horizontal="right" vertical="center"/>
    </xf>
    <xf numFmtId="172" fontId="7" fillId="9" borderId="232" xfId="2" applyNumberFormat="1" applyFont="1" applyFill="1" applyBorder="1" applyAlignment="1">
      <alignment horizontal="right" vertical="center"/>
    </xf>
    <xf numFmtId="0" fontId="4" fillId="9" borderId="237" xfId="2" applyFill="1" applyBorder="1" applyAlignment="1" applyProtection="1">
      <alignment horizontal="center" vertical="center"/>
      <protection locked="0"/>
    </xf>
    <xf numFmtId="172" fontId="7" fillId="9" borderId="237" xfId="2" applyNumberFormat="1" applyFont="1" applyFill="1" applyBorder="1" applyAlignment="1">
      <alignment horizontal="right" vertical="center"/>
    </xf>
    <xf numFmtId="172" fontId="7" fillId="9" borderId="238" xfId="2" applyNumberFormat="1" applyFont="1" applyFill="1" applyBorder="1" applyAlignment="1">
      <alignment horizontal="right" vertical="center"/>
    </xf>
    <xf numFmtId="0" fontId="5" fillId="0" borderId="76" xfId="2" applyFont="1" applyBorder="1" applyAlignment="1" applyProtection="1">
      <alignment horizontal="center" vertical="center"/>
      <protection locked="0"/>
    </xf>
    <xf numFmtId="0" fontId="5" fillId="0" borderId="75" xfId="2" applyFont="1" applyBorder="1" applyAlignment="1" applyProtection="1">
      <alignment horizontal="left" vertical="center"/>
      <protection locked="0"/>
    </xf>
    <xf numFmtId="49" fontId="21" fillId="0" borderId="78" xfId="2" applyNumberFormat="1" applyFont="1" applyBorder="1" applyAlignment="1" applyProtection="1">
      <alignment horizontal="center" vertical="center"/>
      <protection locked="0"/>
    </xf>
    <xf numFmtId="49" fontId="21" fillId="0" borderId="15" xfId="2" applyNumberFormat="1" applyFont="1" applyBorder="1" applyAlignment="1" applyProtection="1">
      <alignment horizontal="center" vertical="center"/>
      <protection locked="0"/>
    </xf>
    <xf numFmtId="49" fontId="21" fillId="0" borderId="79" xfId="2" applyNumberFormat="1" applyFont="1" applyBorder="1" applyAlignment="1" applyProtection="1">
      <alignment horizontal="center" vertical="center"/>
      <protection locked="0"/>
    </xf>
    <xf numFmtId="172" fontId="21" fillId="0" borderId="78" xfId="2" applyNumberFormat="1" applyFont="1" applyBorder="1" applyAlignment="1" applyProtection="1">
      <alignment horizontal="right" vertical="center"/>
      <protection locked="0"/>
    </xf>
    <xf numFmtId="172" fontId="21" fillId="0" borderId="226" xfId="2" applyNumberFormat="1" applyFont="1" applyBorder="1" applyAlignment="1" applyProtection="1">
      <alignment horizontal="right" vertical="center"/>
      <protection locked="0"/>
    </xf>
    <xf numFmtId="0" fontId="53" fillId="9" borderId="75" xfId="2" applyFont="1" applyFill="1" applyBorder="1" applyAlignment="1" applyProtection="1">
      <alignment horizontal="right" vertical="center"/>
      <protection locked="0"/>
    </xf>
    <xf numFmtId="0" fontId="53" fillId="9" borderId="229" xfId="2" applyFont="1" applyFill="1" applyBorder="1" applyAlignment="1" applyProtection="1">
      <alignment horizontal="right" vertical="center"/>
      <protection locked="0"/>
    </xf>
    <xf numFmtId="172" fontId="65" fillId="9" borderId="78" xfId="2" applyNumberFormat="1" applyFont="1" applyFill="1" applyBorder="1" applyAlignment="1">
      <alignment horizontal="right" vertical="center"/>
    </xf>
    <xf numFmtId="172" fontId="65" fillId="9" borderId="226" xfId="2" applyNumberFormat="1" applyFont="1" applyFill="1" applyBorder="1" applyAlignment="1">
      <alignment horizontal="right" vertical="center"/>
    </xf>
    <xf numFmtId="171" fontId="21" fillId="0" borderId="171" xfId="2" applyNumberFormat="1" applyFont="1" applyBorder="1" applyAlignment="1" applyProtection="1">
      <alignment horizontal="left" vertical="center"/>
      <protection locked="0"/>
    </xf>
    <xf numFmtId="171" fontId="21" fillId="0" borderId="14" xfId="2" applyNumberFormat="1" applyFont="1" applyBorder="1" applyAlignment="1" applyProtection="1">
      <alignment horizontal="left" vertical="center"/>
      <protection locked="0"/>
    </xf>
    <xf numFmtId="171" fontId="21" fillId="0" borderId="250" xfId="2" applyNumberFormat="1" applyFont="1" applyBorder="1" applyAlignment="1" applyProtection="1">
      <alignment horizontal="left" vertical="center"/>
      <protection locked="0"/>
    </xf>
    <xf numFmtId="172" fontId="55" fillId="0" borderId="171" xfId="2" applyNumberFormat="1" applyFont="1" applyBorder="1" applyAlignment="1">
      <alignment horizontal="left" vertical="center" wrapText="1"/>
    </xf>
    <xf numFmtId="172" fontId="55" fillId="0" borderId="14" xfId="2" applyNumberFormat="1" applyFont="1" applyBorder="1" applyAlignment="1">
      <alignment horizontal="left" vertical="center" wrapText="1"/>
    </xf>
    <xf numFmtId="172" fontId="55" fillId="0" borderId="250" xfId="2" applyNumberFormat="1" applyFont="1" applyBorder="1" applyAlignment="1">
      <alignment horizontal="left" vertical="center" wrapText="1"/>
    </xf>
    <xf numFmtId="172" fontId="21" fillId="0" borderId="171" xfId="2" applyNumberFormat="1" applyFont="1" applyBorder="1" applyAlignment="1" applyProtection="1">
      <alignment horizontal="left" vertical="center"/>
      <protection locked="0"/>
    </xf>
    <xf numFmtId="172" fontId="21" fillId="0" borderId="14" xfId="2" applyNumberFormat="1" applyFont="1" applyBorder="1" applyAlignment="1" applyProtection="1">
      <alignment horizontal="left" vertical="center"/>
      <protection locked="0"/>
    </xf>
    <xf numFmtId="172" fontId="21" fillId="0" borderId="250" xfId="2" applyNumberFormat="1" applyFont="1" applyBorder="1" applyAlignment="1" applyProtection="1">
      <alignment horizontal="left" vertical="center"/>
      <protection locked="0"/>
    </xf>
    <xf numFmtId="172" fontId="21" fillId="0" borderId="187" xfId="2" applyNumberFormat="1" applyFont="1" applyBorder="1" applyAlignment="1" applyProtection="1">
      <alignment horizontal="left" vertical="center"/>
      <protection locked="0"/>
    </xf>
    <xf numFmtId="172" fontId="21" fillId="0" borderId="81" xfId="2" applyNumberFormat="1" applyFont="1" applyBorder="1" applyAlignment="1" applyProtection="1">
      <alignment horizontal="left" vertical="center"/>
      <protection locked="0"/>
    </xf>
    <xf numFmtId="172" fontId="21" fillId="0" borderId="261" xfId="2" applyNumberFormat="1" applyFont="1" applyBorder="1" applyAlignment="1" applyProtection="1">
      <alignment horizontal="left" vertical="center"/>
      <protection locked="0"/>
    </xf>
    <xf numFmtId="172" fontId="21" fillId="0" borderId="248" xfId="2" applyNumberFormat="1" applyFont="1" applyBorder="1" applyAlignment="1" applyProtection="1">
      <alignment horizontal="left" vertical="center"/>
      <protection locked="0"/>
    </xf>
    <xf numFmtId="172" fontId="21" fillId="0" borderId="16" xfId="2" applyNumberFormat="1" applyFont="1" applyBorder="1" applyAlignment="1" applyProtection="1">
      <alignment horizontal="left" vertical="center"/>
      <protection locked="0"/>
    </xf>
    <xf numFmtId="172" fontId="21" fillId="0" borderId="249" xfId="2" applyNumberFormat="1" applyFont="1" applyBorder="1" applyAlignment="1" applyProtection="1">
      <alignment horizontal="left" vertical="center"/>
      <protection locked="0"/>
    </xf>
    <xf numFmtId="172" fontId="21" fillId="0" borderId="253" xfId="2" applyNumberFormat="1" applyFont="1" applyBorder="1" applyAlignment="1" applyProtection="1">
      <alignment horizontal="left" vertical="center"/>
      <protection locked="0"/>
    </xf>
    <xf numFmtId="172" fontId="21" fillId="0" borderId="251" xfId="2" applyNumberFormat="1" applyFont="1" applyBorder="1" applyAlignment="1" applyProtection="1">
      <alignment horizontal="left" vertical="center"/>
      <protection locked="0"/>
    </xf>
    <xf numFmtId="172" fontId="21" fillId="0" borderId="252" xfId="2" applyNumberFormat="1" applyFont="1" applyBorder="1" applyAlignment="1" applyProtection="1">
      <alignment horizontal="left" vertical="center"/>
      <protection locked="0"/>
    </xf>
    <xf numFmtId="0" fontId="55" fillId="9" borderId="230" xfId="2" applyFont="1" applyFill="1" applyBorder="1" applyAlignment="1" applyProtection="1">
      <alignment horizontal="left" vertical="center" wrapText="1"/>
      <protection locked="0"/>
    </xf>
    <xf numFmtId="0" fontId="55" fillId="9" borderId="15" xfId="2" applyFont="1" applyFill="1" applyBorder="1" applyAlignment="1" applyProtection="1">
      <alignment horizontal="left" vertical="center" wrapText="1"/>
      <protection locked="0"/>
    </xf>
    <xf numFmtId="0" fontId="55" fillId="9" borderId="79" xfId="2" applyFont="1" applyFill="1" applyBorder="1" applyAlignment="1" applyProtection="1">
      <alignment horizontal="left" vertical="center" wrapText="1"/>
      <protection locked="0"/>
    </xf>
    <xf numFmtId="0" fontId="5" fillId="9" borderId="78" xfId="2" applyFont="1" applyFill="1" applyBorder="1" applyAlignment="1">
      <alignment horizontal="center" vertical="center"/>
    </xf>
    <xf numFmtId="0" fontId="5" fillId="9" borderId="226" xfId="2" applyFont="1" applyFill="1" applyBorder="1" applyAlignment="1">
      <alignment horizontal="center" vertical="center"/>
    </xf>
    <xf numFmtId="1" fontId="53" fillId="9" borderId="246" xfId="2" applyNumberFormat="1" applyFont="1" applyFill="1" applyBorder="1" applyAlignment="1" applyProtection="1">
      <alignment horizontal="center" vertical="center" wrapText="1"/>
      <protection locked="0"/>
    </xf>
    <xf numFmtId="1" fontId="53" fillId="9" borderId="245" xfId="2" applyNumberFormat="1" applyFont="1" applyFill="1" applyBorder="1" applyAlignment="1" applyProtection="1">
      <alignment horizontal="center" vertical="center" wrapText="1"/>
      <protection locked="0"/>
    </xf>
    <xf numFmtId="0" fontId="53" fillId="9" borderId="233" xfId="2" applyFont="1" applyFill="1" applyBorder="1" applyAlignment="1" applyProtection="1">
      <alignment vertical="center"/>
      <protection locked="0"/>
    </xf>
    <xf numFmtId="0" fontId="53" fillId="9" borderId="234" xfId="2" applyFont="1" applyFill="1" applyBorder="1" applyAlignment="1" applyProtection="1">
      <alignment vertical="center"/>
      <protection locked="0"/>
    </xf>
    <xf numFmtId="0" fontId="53" fillId="9" borderId="33" xfId="2" applyFont="1" applyFill="1" applyBorder="1" applyAlignment="1" applyProtection="1">
      <alignment horizontal="center" vertical="center"/>
      <protection locked="0"/>
    </xf>
    <xf numFmtId="0" fontId="53" fillId="9" borderId="76" xfId="2" applyFont="1" applyFill="1" applyBorder="1" applyAlignment="1" applyProtection="1">
      <alignment horizontal="center" vertical="center"/>
      <protection locked="0"/>
    </xf>
    <xf numFmtId="0" fontId="5" fillId="0" borderId="15" xfId="2" applyFont="1" applyBorder="1" applyAlignment="1" applyProtection="1">
      <alignment horizontal="left" vertical="center"/>
      <protection locked="0"/>
    </xf>
    <xf numFmtId="0" fontId="5" fillId="0" borderId="79" xfId="2" applyFont="1" applyBorder="1" applyAlignment="1" applyProtection="1">
      <alignment horizontal="left" vertical="center"/>
      <protection locked="0"/>
    </xf>
    <xf numFmtId="0" fontId="7" fillId="9" borderId="78" xfId="2" applyFont="1" applyFill="1" applyBorder="1" applyAlignment="1">
      <alignment vertical="center"/>
    </xf>
    <xf numFmtId="0" fontId="5" fillId="9" borderId="226" xfId="2" applyFont="1" applyFill="1" applyBorder="1" applyAlignment="1">
      <alignment vertical="center"/>
    </xf>
    <xf numFmtId="1" fontId="55" fillId="0" borderId="248" xfId="2" applyNumberFormat="1" applyFont="1" applyBorder="1" applyAlignment="1">
      <alignment horizontal="left" vertical="center"/>
    </xf>
    <xf numFmtId="1" fontId="55" fillId="0" borderId="16" xfId="2" applyNumberFormat="1" applyFont="1" applyBorder="1" applyAlignment="1">
      <alignment horizontal="left" vertical="center"/>
    </xf>
    <xf numFmtId="1" fontId="55" fillId="0" borderId="249" xfId="2" applyNumberFormat="1" applyFont="1" applyBorder="1" applyAlignment="1">
      <alignment horizontal="left" vertical="center"/>
    </xf>
    <xf numFmtId="1" fontId="21" fillId="0" borderId="171" xfId="2" applyNumberFormat="1" applyFont="1" applyBorder="1" applyAlignment="1" applyProtection="1">
      <alignment horizontal="left" vertical="center"/>
      <protection locked="0"/>
    </xf>
    <xf numFmtId="1" fontId="21" fillId="0" borderId="14" xfId="2" applyNumberFormat="1" applyFont="1" applyBorder="1" applyAlignment="1" applyProtection="1">
      <alignment horizontal="left" vertical="center"/>
      <protection locked="0"/>
    </xf>
    <xf numFmtId="1" fontId="21" fillId="0" borderId="250" xfId="2" applyNumberFormat="1" applyFont="1" applyBorder="1" applyAlignment="1" applyProtection="1">
      <alignment horizontal="left" vertical="center"/>
      <protection locked="0"/>
    </xf>
    <xf numFmtId="0" fontId="67" fillId="9" borderId="62" xfId="2" applyFont="1" applyFill="1" applyBorder="1" applyAlignment="1" applyProtection="1">
      <alignment vertical="center"/>
      <protection locked="0"/>
    </xf>
    <xf numFmtId="0" fontId="68" fillId="9" borderId="0" xfId="0" applyFont="1" applyFill="1" applyAlignment="1">
      <alignment vertical="center"/>
    </xf>
    <xf numFmtId="0" fontId="60" fillId="9" borderId="62" xfId="2" applyFont="1" applyFill="1" applyBorder="1" applyAlignment="1" applyProtection="1">
      <alignment vertical="center"/>
      <protection locked="0"/>
    </xf>
    <xf numFmtId="0" fontId="0" fillId="9" borderId="0" xfId="0" applyFill="1" applyAlignment="1">
      <alignment vertical="center"/>
    </xf>
    <xf numFmtId="0" fontId="52" fillId="9" borderId="62" xfId="2" applyFont="1" applyFill="1" applyBorder="1" applyAlignment="1" applyProtection="1">
      <alignment horizontal="center" vertical="center"/>
      <protection locked="0"/>
    </xf>
    <xf numFmtId="0" fontId="54" fillId="9" borderId="0" xfId="2" applyFont="1" applyFill="1" applyAlignment="1" applyProtection="1">
      <alignment horizontal="center" vertical="center"/>
      <protection locked="0"/>
    </xf>
    <xf numFmtId="0" fontId="7" fillId="9" borderId="205" xfId="2" applyFont="1" applyFill="1" applyBorder="1" applyAlignment="1">
      <alignment vertical="center"/>
    </xf>
    <xf numFmtId="0" fontId="7" fillId="9" borderId="202" xfId="2" applyFont="1" applyFill="1" applyBorder="1" applyAlignment="1">
      <alignment vertical="center"/>
    </xf>
    <xf numFmtId="0" fontId="7" fillId="9" borderId="204" xfId="2" applyFont="1" applyFill="1" applyBorder="1" applyAlignment="1">
      <alignment vertical="center"/>
    </xf>
    <xf numFmtId="0" fontId="7" fillId="9" borderId="72" xfId="2" applyFont="1" applyFill="1" applyBorder="1" applyAlignment="1">
      <alignment vertical="center"/>
    </xf>
    <xf numFmtId="0" fontId="5" fillId="9" borderId="73" xfId="2" applyFont="1" applyFill="1" applyBorder="1" applyAlignment="1">
      <alignment vertical="center"/>
    </xf>
    <xf numFmtId="0" fontId="5" fillId="9" borderId="74" xfId="2" applyFont="1" applyFill="1" applyBorder="1" applyAlignment="1">
      <alignment vertical="center"/>
    </xf>
    <xf numFmtId="0" fontId="56" fillId="0" borderId="0" xfId="0" applyFont="1" applyAlignment="1">
      <alignment horizontal="left" vertical="top" wrapText="1"/>
    </xf>
    <xf numFmtId="0" fontId="25" fillId="0" borderId="4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51" fillId="0" borderId="0" xfId="0" applyFont="1" applyAlignment="1"/>
  </cellXfs>
  <cellStyles count="4">
    <cellStyle name="Hyperlink" xfId="3" xr:uid="{06E069D2-BD70-4682-9733-E2F891E4F6A9}"/>
    <cellStyle name="Link" xfId="1" builtinId="8"/>
    <cellStyle name="Standard" xfId="0" builtinId="0"/>
    <cellStyle name="Standard 2" xfId="2" xr:uid="{3FF87642-9807-416C-BD8B-610BFA9C7540}"/>
  </cellStyles>
  <dxfs count="94">
    <dxf>
      <fill>
        <patternFill patternType="solid">
          <bgColor theme="0" tint="-0.24997711111789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rgb="FFBFBFBF"/>
        </patternFill>
      </fill>
    </dxf>
    <dxf>
      <font>
        <color theme="1" tint="0.499984740745262"/>
      </font>
      <fill>
        <patternFill patternType="solid">
          <bgColor theme="0" tint="-0.249977111117893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theme="1"/>
      </font>
      <fill>
        <patternFill patternType="solid">
          <bgColor theme="0" tint="-0.249977111117893"/>
        </patternFill>
      </fill>
    </dxf>
    <dxf>
      <font>
        <color rgb="FFBFBFBF"/>
      </font>
      <fill>
        <patternFill patternType="solid">
          <fgColor rgb="FFD8D8D8"/>
          <bgColor rgb="FFD8D8D8"/>
        </patternFill>
      </fill>
    </dxf>
    <dxf>
      <font>
        <color rgb="FFBFBFBF"/>
      </font>
      <fill>
        <patternFill patternType="solid">
          <fgColor rgb="FFD8D8D8"/>
          <bgColor rgb="FFD8D8D8"/>
        </patternFill>
      </fill>
    </dxf>
    <dxf>
      <font>
        <color rgb="FFBFBFBF"/>
      </font>
      <fill>
        <patternFill patternType="solid">
          <fgColor rgb="FFD8D8D8"/>
          <bgColor rgb="FFD8D8D8"/>
        </patternFill>
      </fill>
    </dxf>
    <dxf>
      <font>
        <color rgb="FFBFBFBF"/>
      </font>
      <fill>
        <patternFill patternType="solid">
          <fgColor rgb="FFD8D8D8"/>
          <bgColor rgb="FFD8D8D8"/>
        </patternFill>
      </fill>
    </dxf>
    <dxf>
      <font>
        <color rgb="FFBFBFBF"/>
      </font>
      <fill>
        <patternFill patternType="solid">
          <fgColor rgb="FFD8D8D8"/>
          <bgColor rgb="FFD8D8D8"/>
        </patternFill>
      </fill>
    </dxf>
    <dxf>
      <font>
        <color rgb="FFBFBFBF"/>
      </font>
      <fill>
        <patternFill patternType="solid">
          <fgColor rgb="FFD8D8D8"/>
          <bgColor rgb="FFD8D8D8"/>
        </patternFill>
      </fill>
    </dxf>
    <dxf>
      <font>
        <color rgb="FFBFBFBF"/>
      </font>
      <fill>
        <patternFill patternType="solid">
          <fgColor rgb="FFD8D8D8"/>
          <bgColor rgb="FFD8D8D8"/>
        </patternFill>
      </fill>
    </dxf>
    <dxf>
      <font>
        <color rgb="FFBFBFBF"/>
      </font>
      <fill>
        <patternFill patternType="solid">
          <fgColor rgb="FFD8D8D8"/>
          <bgColor rgb="FFD8D8D8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fgColor rgb="FFE69999"/>
          <bgColor rgb="FFE69999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>
          <bgColor rgb="FFFF0000"/>
        </patternFill>
      </fill>
    </dxf>
    <dxf>
      <fill>
        <patternFill patternType="solid">
          <fgColor rgb="FF00FF00"/>
          <bgColor theme="9" tint="0.5999633777886288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00FF00"/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theme="9" tint="0.59996337778862885"/>
        </patternFill>
      </fill>
    </dxf>
    <dxf>
      <fill>
        <patternFill patternType="solid">
          <fgColor rgb="FF00FF00"/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>
          <bgColor rgb="FFFF0000"/>
        </patternFill>
      </fill>
    </dxf>
    <dxf>
      <fill>
        <patternFill patternType="solid">
          <fgColor rgb="FFE69999"/>
          <bgColor rgb="FFE69999"/>
        </patternFill>
      </fill>
    </dxf>
    <dxf>
      <fill>
        <patternFill patternType="solid">
          <fgColor rgb="FFFADCB3"/>
          <bgColor rgb="FFFADCB3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E69999"/>
          <bgColor rgb="FFE69999"/>
        </patternFill>
      </fill>
    </dxf>
    <dxf>
      <fill>
        <patternFill patternType="solid">
          <fgColor rgb="FFFADCB3"/>
          <bgColor rgb="FFFADCB3"/>
        </patternFill>
      </fill>
    </dxf>
    <dxf>
      <fill>
        <patternFill patternType="solid">
          <fgColor rgb="FFFFFF99"/>
          <bgColor rgb="FFFFFF99"/>
        </patternFill>
      </fill>
    </dxf>
    <dxf>
      <font>
        <strike/>
      </font>
    </dxf>
    <dxf>
      <fill>
        <patternFill patternType="solid">
          <fgColor rgb="FFFFFF99"/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FF00"/>
      <color rgb="FF99CCFF"/>
      <color rgb="FFCC99FF"/>
      <color rgb="FFFFD961"/>
      <color rgb="FFCDACE6"/>
      <color rgb="FFA162D0"/>
      <color rgb="FFFFFF99"/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649062</xdr:colOff>
      <xdr:row>3</xdr:row>
      <xdr:rowOff>205574</xdr:rowOff>
    </xdr:from>
    <xdr:to>
      <xdr:col>24</xdr:col>
      <xdr:colOff>515815</xdr:colOff>
      <xdr:row>6</xdr:row>
      <xdr:rowOff>84741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8862" y="986624"/>
          <a:ext cx="638278" cy="660217"/>
        </a:xfrm>
        <a:prstGeom prst="rect">
          <a:avLst/>
        </a:prstGeom>
      </xdr:spPr>
    </xdr:pic>
    <xdr:clientData/>
  </xdr:twoCellAnchor>
  <xdr:twoCellAnchor editAs="oneCell">
    <xdr:from>
      <xdr:col>59</xdr:col>
      <xdr:colOff>274342</xdr:colOff>
      <xdr:row>3</xdr:row>
      <xdr:rowOff>182755</xdr:rowOff>
    </xdr:from>
    <xdr:to>
      <xdr:col>61</xdr:col>
      <xdr:colOff>26692</xdr:colOff>
      <xdr:row>6</xdr:row>
      <xdr:rowOff>61922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4192" y="963805"/>
          <a:ext cx="638175" cy="660217"/>
        </a:xfrm>
        <a:prstGeom prst="rect">
          <a:avLst/>
        </a:prstGeom>
      </xdr:spPr>
    </xdr:pic>
    <xdr:clientData/>
  </xdr:twoCellAnchor>
  <xdr:twoCellAnchor editAs="oneCell">
    <xdr:from>
      <xdr:col>2</xdr:col>
      <xdr:colOff>1121106</xdr:colOff>
      <xdr:row>1</xdr:row>
      <xdr:rowOff>52535</xdr:rowOff>
    </xdr:from>
    <xdr:to>
      <xdr:col>3</xdr:col>
      <xdr:colOff>415844</xdr:colOff>
      <xdr:row>3</xdr:row>
      <xdr:rowOff>94836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alphaModFix amt="67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6" t="20433" r="5234" b="11730"/>
        <a:stretch/>
      </xdr:blipFill>
      <xdr:spPr>
        <a:xfrm rot="20032154">
          <a:off x="2340306" y="262085"/>
          <a:ext cx="494888" cy="6138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114300</xdr:colOff>
      <xdr:row>9</xdr:row>
      <xdr:rowOff>142875</xdr:rowOff>
    </xdr:from>
    <xdr:to>
      <xdr:col>9</xdr:col>
      <xdr:colOff>648653</xdr:colOff>
      <xdr:row>13</xdr:row>
      <xdr:rowOff>114300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99" t="17147" r="13598" b="4761"/>
        <a:stretch/>
      </xdr:blipFill>
      <xdr:spPr>
        <a:xfrm>
          <a:off x="5248275" y="1600200"/>
          <a:ext cx="534353" cy="62865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9</xdr:row>
      <xdr:rowOff>142875</xdr:rowOff>
    </xdr:from>
    <xdr:to>
      <xdr:col>15</xdr:col>
      <xdr:colOff>629603</xdr:colOff>
      <xdr:row>13</xdr:row>
      <xdr:rowOff>114300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99" t="17147" r="13598" b="4761"/>
        <a:stretch/>
      </xdr:blipFill>
      <xdr:spPr>
        <a:xfrm>
          <a:off x="11487150" y="1600200"/>
          <a:ext cx="534353" cy="628650"/>
        </a:xfrm>
        <a:prstGeom prst="rect">
          <a:avLst/>
        </a:prstGeom>
      </xdr:spPr>
    </xdr:pic>
    <xdr:clientData/>
  </xdr:twoCellAnchor>
  <xdr:oneCellAnchor>
    <xdr:from>
      <xdr:col>17</xdr:col>
      <xdr:colOff>9525</xdr:colOff>
      <xdr:row>9</xdr:row>
      <xdr:rowOff>152400</xdr:rowOff>
    </xdr:from>
    <xdr:ext cx="534353" cy="628650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99" t="17147" r="13598" b="4761"/>
        <a:stretch/>
      </xdr:blipFill>
      <xdr:spPr>
        <a:xfrm>
          <a:off x="12706350" y="1609725"/>
          <a:ext cx="534353" cy="628650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9</xdr:row>
      <xdr:rowOff>142875</xdr:rowOff>
    </xdr:from>
    <xdr:ext cx="534353" cy="628650"/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99" t="17147" r="13598" b="4761"/>
        <a:stretch/>
      </xdr:blipFill>
      <xdr:spPr>
        <a:xfrm>
          <a:off x="13925550" y="1600200"/>
          <a:ext cx="534353" cy="628650"/>
        </a:xfrm>
        <a:prstGeom prst="rect">
          <a:avLst/>
        </a:prstGeom>
      </xdr:spPr>
    </xdr:pic>
    <xdr:clientData/>
  </xdr:oneCellAnchor>
  <xdr:oneCellAnchor>
    <xdr:from>
      <xdr:col>19</xdr:col>
      <xdr:colOff>9525</xdr:colOff>
      <xdr:row>9</xdr:row>
      <xdr:rowOff>152400</xdr:rowOff>
    </xdr:from>
    <xdr:ext cx="534353" cy="628650"/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99" t="17147" r="13598" b="4761"/>
        <a:stretch/>
      </xdr:blipFill>
      <xdr:spPr>
        <a:xfrm>
          <a:off x="12706350" y="1609725"/>
          <a:ext cx="534353" cy="628650"/>
        </a:xfrm>
        <a:prstGeom prst="rect">
          <a:avLst/>
        </a:prstGeom>
      </xdr:spPr>
    </xdr:pic>
    <xdr:clientData/>
  </xdr:oneCellAnchor>
  <xdr:twoCellAnchor editAs="oneCell">
    <xdr:from>
      <xdr:col>4</xdr:col>
      <xdr:colOff>371475</xdr:colOff>
      <xdr:row>6</xdr:row>
      <xdr:rowOff>0</xdr:rowOff>
    </xdr:from>
    <xdr:to>
      <xdr:col>6</xdr:col>
      <xdr:colOff>2484</xdr:colOff>
      <xdr:row>10</xdr:row>
      <xdr:rowOff>5770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0991AEF-E8B8-4903-88A8-0DAC56851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971550"/>
          <a:ext cx="640659" cy="662995"/>
        </a:xfrm>
        <a:prstGeom prst="rect">
          <a:avLst/>
        </a:prstGeom>
      </xdr:spPr>
    </xdr:pic>
    <xdr:clientData/>
  </xdr:twoCellAnchor>
  <xdr:oneCellAnchor>
    <xdr:from>
      <xdr:col>26</xdr:col>
      <xdr:colOff>38100</xdr:colOff>
      <xdr:row>9</xdr:row>
      <xdr:rowOff>152400</xdr:rowOff>
    </xdr:from>
    <xdr:ext cx="534353" cy="628650"/>
    <xdr:pic>
      <xdr:nvPicPr>
        <xdr:cNvPr id="8" name="Grafik 7">
          <a:extLst>
            <a:ext uri="{FF2B5EF4-FFF2-40B4-BE49-F238E27FC236}">
              <a16:creationId xmlns:a16="http://schemas.microsoft.com/office/drawing/2014/main" id="{133FD4E3-1418-4E8C-BE09-F37602517B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99" t="17147" r="13598" b="4761"/>
        <a:stretch/>
      </xdr:blipFill>
      <xdr:spPr>
        <a:xfrm>
          <a:off x="19516725" y="1609725"/>
          <a:ext cx="534353" cy="6286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0</xdr:row>
          <xdr:rowOff>57150</xdr:rowOff>
        </xdr:from>
        <xdr:to>
          <xdr:col>6</xdr:col>
          <xdr:colOff>619125</xdr:colOff>
          <xdr:row>2</xdr:row>
          <xdr:rowOff>209550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0</xdr:row>
          <xdr:rowOff>57150</xdr:rowOff>
        </xdr:from>
        <xdr:to>
          <xdr:col>14</xdr:col>
          <xdr:colOff>619125</xdr:colOff>
          <xdr:row>2</xdr:row>
          <xdr:rowOff>209550</xdr:rowOff>
        </xdr:to>
        <xdr:sp macro="" textlink="">
          <xdr:nvSpPr>
            <xdr:cNvPr id="16395" name="Object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2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itteldrittel@dav-altdorf.de" TargetMode="External"/><Relationship Id="rId13" Type="http://schemas.openxmlformats.org/officeDocument/2006/relationships/hyperlink" Target="mailto:info@dav-altdorf.de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mailto:bergrad@dav-altdorf.de" TargetMode="External"/><Relationship Id="rId21" Type="http://schemas.openxmlformats.org/officeDocument/2006/relationships/comments" Target="../comments2.xml"/><Relationship Id="rId7" Type="http://schemas.openxmlformats.org/officeDocument/2006/relationships/hyperlink" Target="mailto:jungmannschaft@dav-altdorf.de" TargetMode="External"/><Relationship Id="rId12" Type="http://schemas.openxmlformats.org/officeDocument/2006/relationships/hyperlink" Target="mailto:skiabteilung@dav-altdorf.de" TargetMode="External"/><Relationship Id="rId17" Type="http://schemas.openxmlformats.org/officeDocument/2006/relationships/hyperlink" Target="mailto:jan.kuerschner@dav-altdorf.de" TargetMode="External"/><Relationship Id="rId2" Type="http://schemas.openxmlformats.org/officeDocument/2006/relationships/hyperlink" Target="mailto:skibergsteiger@dav-altdorf.de" TargetMode="External"/><Relationship Id="rId16" Type="http://schemas.openxmlformats.org/officeDocument/2006/relationships/hyperlink" Target="mailto:gs@dav-altdorf.de" TargetMode="External"/><Relationship Id="rId20" Type="http://schemas.openxmlformats.org/officeDocument/2006/relationships/vmlDrawing" Target="../drawings/vmlDrawing2.vml"/><Relationship Id="rId1" Type="http://schemas.openxmlformats.org/officeDocument/2006/relationships/hyperlink" Target="mailto:bergsteiger@dav-altdorf.de" TargetMode="External"/><Relationship Id="rId6" Type="http://schemas.openxmlformats.org/officeDocument/2006/relationships/hyperlink" Target="mailto:jugend@dav-altdorf.de" TargetMode="External"/><Relationship Id="rId11" Type="http://schemas.openxmlformats.org/officeDocument/2006/relationships/hyperlink" Target="mailto:senioren-leicht@dav-altdorf.de" TargetMode="External"/><Relationship Id="rId5" Type="http://schemas.openxmlformats.org/officeDocument/2006/relationships/hyperlink" Target="mailto:%20jugend1@dav-altdorf.de" TargetMode="External"/><Relationship Id="rId15" Type="http://schemas.openxmlformats.org/officeDocument/2006/relationships/hyperlink" Target="mailto:schatzmeister@dav-altdorf.de" TargetMode="External"/><Relationship Id="rId10" Type="http://schemas.openxmlformats.org/officeDocument/2006/relationships/hyperlink" Target="mailto:senioren@dav-altdorf.de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mailto:familien@dav-altdorf.de" TargetMode="External"/><Relationship Id="rId9" Type="http://schemas.openxmlformats.org/officeDocument/2006/relationships/hyperlink" Target="mailto:sportklettern@dav-altdorf.de" TargetMode="External"/><Relationship Id="rId14" Type="http://schemas.openxmlformats.org/officeDocument/2006/relationships/hyperlink" Target="mailto:naturschutz@dav-altdorf.d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92D050"/>
    <outlinePr summaryRight="0"/>
  </sheetPr>
  <dimension ref="A1:BU47"/>
  <sheetViews>
    <sheetView tabSelected="1" zoomScaleNormal="100" workbookViewId="0">
      <pane xSplit="2" topLeftCell="C1" activePane="topRight" state="frozen"/>
      <selection pane="topRight" activeCell="B10" sqref="B10"/>
    </sheetView>
  </sheetViews>
  <sheetFormatPr defaultColWidth="14.42578125" defaultRowHeight="12.75" customHeight="1"/>
  <cols>
    <col min="1" max="1" width="4.140625" style="456" customWidth="1"/>
    <col min="2" max="2" width="14.140625" style="456" customWidth="1"/>
    <col min="3" max="3" width="18" style="456" customWidth="1"/>
    <col min="4" max="4" width="14.28515625" style="456" customWidth="1"/>
    <col min="5" max="5" width="5.5703125" style="456" customWidth="1"/>
    <col min="6" max="6" width="17" style="456" bestFit="1" customWidth="1"/>
    <col min="7" max="7" width="21" style="456" customWidth="1"/>
    <col min="8" max="8" width="2.85546875" style="548" customWidth="1"/>
    <col min="9" max="9" width="2.85546875" style="549" customWidth="1"/>
    <col min="10" max="10" width="5.85546875" style="456" customWidth="1"/>
    <col min="11" max="12" width="4.140625" style="456" customWidth="1"/>
    <col min="13" max="13" width="4.140625" style="556" customWidth="1"/>
    <col min="14" max="15" width="4.140625" style="456" customWidth="1"/>
    <col min="16" max="16" width="4.140625" style="556" customWidth="1"/>
    <col min="17" max="18" width="1.7109375" style="456" customWidth="1"/>
    <col min="19" max="19" width="1.7109375" style="556" customWidth="1"/>
    <col min="20" max="21" width="1.7109375" style="456" customWidth="1"/>
    <col min="22" max="22" width="4.140625" style="456" customWidth="1"/>
    <col min="23" max="23" width="4.140625" style="557" customWidth="1"/>
    <col min="24" max="24" width="11.5703125" style="558" customWidth="1"/>
    <col min="25" max="25" width="10" style="559" customWidth="1"/>
    <col min="26" max="26" width="2.85546875" style="548" customWidth="1"/>
    <col min="27" max="27" width="2.85546875" style="549" customWidth="1"/>
    <col min="28" max="28" width="15.5703125" style="456" customWidth="1"/>
    <col min="29" max="29" width="3.42578125" style="560" customWidth="1"/>
    <col min="30" max="30" width="3.42578125" style="561" customWidth="1"/>
    <col min="31" max="31" width="3.42578125" style="562" customWidth="1"/>
    <col min="32" max="32" width="3.42578125" style="560" customWidth="1"/>
    <col min="33" max="33" width="3.42578125" style="561" customWidth="1"/>
    <col min="34" max="34" width="3.42578125" style="562" customWidth="1"/>
    <col min="35" max="35" width="1.7109375" style="560" customWidth="1"/>
    <col min="36" max="36" width="1.7109375" style="561" customWidth="1"/>
    <col min="37" max="37" width="1.7109375" style="562" customWidth="1"/>
    <col min="38" max="38" width="1.7109375" style="560" customWidth="1"/>
    <col min="39" max="39" width="1.7109375" style="561" customWidth="1"/>
    <col min="40" max="40" width="1.7109375" style="563" customWidth="1"/>
    <col min="41" max="41" width="1.7109375" style="456" customWidth="1"/>
    <col min="42" max="42" width="1.7109375" style="561" customWidth="1"/>
    <col min="43" max="43" width="1.7109375" style="562" customWidth="1"/>
    <col min="44" max="44" width="5.7109375" style="564" customWidth="1"/>
    <col min="45" max="45" width="3.85546875" style="560" customWidth="1"/>
    <col min="46" max="46" width="3.28515625" style="561" customWidth="1"/>
    <col min="47" max="47" width="3.28515625" style="562" customWidth="1"/>
    <col min="48" max="48" width="3.28515625" style="560" customWidth="1"/>
    <col min="49" max="49" width="3.28515625" style="561" customWidth="1"/>
    <col min="50" max="50" width="3.28515625" style="562" customWidth="1"/>
    <col min="51" max="51" width="1.7109375" style="560" customWidth="1"/>
    <col min="52" max="52" width="1.7109375" style="561" customWidth="1"/>
    <col min="53" max="53" width="1.7109375" style="562" customWidth="1"/>
    <col min="54" max="54" width="1.7109375" style="560" customWidth="1"/>
    <col min="55" max="55" width="1.7109375" style="561" customWidth="1"/>
    <col min="56" max="56" width="1.7109375" style="562" customWidth="1"/>
    <col min="57" max="57" width="1.7109375" style="560" customWidth="1"/>
    <col min="58" max="58" width="1.7109375" style="561" customWidth="1"/>
    <col min="59" max="59" width="1.7109375" style="563" customWidth="1"/>
    <col min="60" max="60" width="5.5703125" style="565" customWidth="1"/>
    <col min="61" max="61" width="7.7109375" style="562" customWidth="1"/>
    <col min="62" max="62" width="2.85546875" style="548" customWidth="1"/>
    <col min="63" max="63" width="2.85546875" style="549" customWidth="1"/>
    <col min="64" max="65" width="3.140625" style="557" customWidth="1"/>
    <col min="66" max="66" width="3.140625" style="566" customWidth="1"/>
    <col min="67" max="67" width="3.140625" style="567" customWidth="1"/>
    <col min="68" max="70" width="3.140625" style="557" customWidth="1"/>
    <col min="71" max="71" width="17.5703125" style="568" customWidth="1"/>
    <col min="72" max="72" width="2.85546875" style="548" customWidth="1"/>
    <col min="73" max="16384" width="14.42578125" style="456"/>
  </cols>
  <sheetData>
    <row r="1" spans="1:73" s="447" customFormat="1" ht="16.5" customHeight="1" thickTop="1" thickBot="1">
      <c r="A1" s="1149" t="s">
        <v>0</v>
      </c>
      <c r="B1" s="1150"/>
      <c r="C1" s="1160" t="s">
        <v>1</v>
      </c>
      <c r="D1" s="1161"/>
      <c r="E1" s="750"/>
      <c r="F1" s="751"/>
      <c r="G1" s="751"/>
      <c r="H1" s="752"/>
      <c r="I1" s="776" t="s">
        <v>2</v>
      </c>
      <c r="J1" s="777"/>
      <c r="K1" s="778"/>
      <c r="L1" s="778"/>
      <c r="M1" s="778"/>
      <c r="N1" s="778"/>
      <c r="O1" s="778"/>
      <c r="P1" s="778"/>
      <c r="Q1" s="778"/>
      <c r="R1" s="778"/>
      <c r="S1" s="778"/>
      <c r="T1" s="778"/>
      <c r="U1" s="778"/>
      <c r="V1" s="778"/>
      <c r="W1" s="778"/>
      <c r="X1" s="778"/>
      <c r="Y1" s="778"/>
      <c r="Z1" s="779"/>
      <c r="AA1" s="443" t="s">
        <v>3</v>
      </c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5"/>
      <c r="AR1" s="1151"/>
      <c r="AS1" s="1152"/>
      <c r="AT1" s="1152"/>
      <c r="AU1" s="1152"/>
      <c r="AV1" s="1152"/>
      <c r="AW1" s="1152"/>
      <c r="AX1" s="1152"/>
      <c r="AY1" s="1152"/>
      <c r="AZ1" s="1152"/>
      <c r="BA1" s="1152"/>
      <c r="BB1" s="1152"/>
      <c r="BC1" s="1152"/>
      <c r="BD1" s="1152"/>
      <c r="BE1" s="1152"/>
      <c r="BF1" s="1152"/>
      <c r="BG1" s="1152"/>
      <c r="BH1" s="1152"/>
      <c r="BI1" s="1152"/>
      <c r="BJ1" s="446"/>
      <c r="BK1" s="799" t="s">
        <v>4</v>
      </c>
      <c r="BL1" s="800"/>
      <c r="BM1" s="801"/>
      <c r="BN1" s="801"/>
      <c r="BO1" s="801"/>
      <c r="BP1" s="801"/>
      <c r="BQ1" s="801"/>
      <c r="BR1" s="801"/>
      <c r="BS1" s="801"/>
      <c r="BT1" s="802"/>
    </row>
    <row r="2" spans="1:73" s="447" customFormat="1" ht="22.5" customHeight="1" thickTop="1">
      <c r="A2" s="1098" t="s">
        <v>5</v>
      </c>
      <c r="B2" s="1099"/>
      <c r="C2" s="1" t="s">
        <v>6</v>
      </c>
      <c r="D2" s="569">
        <f>((AnzTeiln-SUM(J$10:J38)) *V5 +IF(K45&lt;=0,0,K5*K45)+IF(L45&lt;=0,0,L5)+IF(M45&lt;=0,0,M5)+IF(N45&lt;=0,0,N5)+IF(O45&lt;=0,0,O5)+IF(P45&lt;=0,0,P5)+IF(Q45&lt;=0,0,Q5)+IF(R45&lt;=0,0,R5)+IF(S45&lt;=0,0,S5)+IF(T45&lt;=0,0,T5)+IF(U45&lt;=0,0,U5)+IF(V45&lt;=0,0,V5)+IF(W45&lt;=0,0,W5))*2.62*D6/100 + BI3 +D8*HilfeListe!T16</f>
        <v>135.67400943396228</v>
      </c>
      <c r="E2" s="448" t="s">
        <v>7</v>
      </c>
      <c r="F2" s="1102" t="s">
        <v>8</v>
      </c>
      <c r="G2" s="1102"/>
      <c r="H2" s="753"/>
      <c r="I2" s="780"/>
      <c r="J2" s="1079" t="s">
        <v>9</v>
      </c>
      <c r="K2" s="1124"/>
      <c r="L2" s="1068" t="s">
        <v>10</v>
      </c>
      <c r="M2" s="1115" t="s">
        <v>10</v>
      </c>
      <c r="N2" s="1117" t="s">
        <v>10</v>
      </c>
      <c r="O2" s="1068"/>
      <c r="P2" s="1115"/>
      <c r="Q2" s="1117"/>
      <c r="R2" s="1119"/>
      <c r="S2" s="1121"/>
      <c r="T2" s="1117"/>
      <c r="U2" s="1068"/>
      <c r="V2" s="1124"/>
      <c r="W2" s="1125"/>
      <c r="X2" s="930"/>
      <c r="Y2" s="931"/>
      <c r="Z2" s="790"/>
      <c r="AA2" s="449"/>
      <c r="AB2" s="1077" t="s">
        <v>11</v>
      </c>
      <c r="AC2" s="1153"/>
      <c r="AD2" s="1155" t="s">
        <v>10</v>
      </c>
      <c r="AE2" s="1166" t="s">
        <v>10</v>
      </c>
      <c r="AF2" s="1168" t="s">
        <v>10</v>
      </c>
      <c r="AG2" s="1155"/>
      <c r="AH2" s="1166"/>
      <c r="AI2" s="1168"/>
      <c r="AJ2" s="1155"/>
      <c r="AK2" s="1166"/>
      <c r="AL2" s="1168"/>
      <c r="AM2" s="1155"/>
      <c r="AN2" s="1166"/>
      <c r="AO2" s="1155"/>
      <c r="AP2" s="1155"/>
      <c r="AQ2" s="1170"/>
      <c r="AR2" s="1157" t="s">
        <v>12</v>
      </c>
      <c r="AS2" s="1158"/>
      <c r="AT2" s="1158"/>
      <c r="AU2" s="1158"/>
      <c r="AV2" s="1158"/>
      <c r="AW2" s="1158"/>
      <c r="AX2" s="1158"/>
      <c r="AY2" s="1158"/>
      <c r="AZ2" s="1158"/>
      <c r="BA2" s="1158"/>
      <c r="BB2" s="1158"/>
      <c r="BC2" s="1158"/>
      <c r="BD2" s="1158"/>
      <c r="BE2" s="1158"/>
      <c r="BF2" s="1158"/>
      <c r="BG2" s="1158"/>
      <c r="BH2" s="1158"/>
      <c r="BI2" s="1159"/>
      <c r="BJ2" s="450"/>
      <c r="BK2" s="803"/>
      <c r="BL2" s="1070"/>
      <c r="BM2" s="1072"/>
      <c r="BN2" s="1072"/>
      <c r="BO2" s="1073"/>
      <c r="BP2" s="1075"/>
      <c r="BQ2" s="1072"/>
      <c r="BR2" s="1072"/>
      <c r="BS2" s="1143" t="s">
        <v>13</v>
      </c>
      <c r="BT2" s="813"/>
    </row>
    <row r="3" spans="1:73" ht="22.5" customHeight="1">
      <c r="A3" s="841">
        <v>8</v>
      </c>
      <c r="B3" s="1106" t="s">
        <v>14</v>
      </c>
      <c r="C3" s="1107"/>
      <c r="D3" s="570">
        <f>D2/D5/(IF(AnzTeiln=0,1,AnzTeiln))</f>
        <v>54.269603773584912</v>
      </c>
      <c r="E3" s="448" t="s">
        <v>15</v>
      </c>
      <c r="F3" s="1102"/>
      <c r="G3" s="1102"/>
      <c r="H3" s="754"/>
      <c r="I3" s="781"/>
      <c r="J3" s="1080"/>
      <c r="K3" s="1123"/>
      <c r="L3" s="1123"/>
      <c r="M3" s="1116"/>
      <c r="N3" s="1118"/>
      <c r="O3" s="1123"/>
      <c r="P3" s="1116"/>
      <c r="Q3" s="1118"/>
      <c r="R3" s="1120"/>
      <c r="S3" s="1122"/>
      <c r="T3" s="1118"/>
      <c r="U3" s="1123"/>
      <c r="V3" s="1123"/>
      <c r="W3" s="1123"/>
      <c r="X3" s="932" t="s">
        <v>16</v>
      </c>
      <c r="Y3" s="933">
        <f>((km+kmEndeStart+kmOrt)/100*(
IF(K45&lt;=0,0,K5*K6*K45)+
IF(L45&lt;=0,0,L5*L6)+
IF(M45&lt;=0,0,M5*M6)+
IF(N45&lt;=0,0,N5*N6)+
IF(O45&lt;=0,0,O5*O6)+
IF(P45&lt;=0,0,P5*P6)+
IF(Q45&lt;=0,0,Q5*Q6)+
IF(R45&lt;=0,0,R5*R6)+
IF(S45&lt;=0,0,S5*S6)+
IF(T45&lt;=0,0,T5*T6)+
IF(U45&lt;=0,0,U5*U6)+
IF(V45&lt;=0,V5*V6*V8/5,V5*V6*V8/5)+
IF(W45&lt;=0,0,0)
))</f>
        <v>125.29999999999998</v>
      </c>
      <c r="Z3" s="791"/>
      <c r="AA3" s="452"/>
      <c r="AB3" s="1078"/>
      <c r="AC3" s="1154"/>
      <c r="AD3" s="1156"/>
      <c r="AE3" s="1167"/>
      <c r="AF3" s="1169"/>
      <c r="AG3" s="1156"/>
      <c r="AH3" s="1167"/>
      <c r="AI3" s="1169"/>
      <c r="AJ3" s="1156"/>
      <c r="AK3" s="1167"/>
      <c r="AL3" s="1169"/>
      <c r="AM3" s="1156"/>
      <c r="AN3" s="1167"/>
      <c r="AO3" s="1156"/>
      <c r="AP3" s="1156"/>
      <c r="AQ3" s="1171"/>
      <c r="AR3" s="1128" t="s">
        <v>17</v>
      </c>
      <c r="AS3" s="1131" t="s">
        <v>18</v>
      </c>
      <c r="AT3" s="1134"/>
      <c r="AU3" s="1137"/>
      <c r="AV3" s="1131"/>
      <c r="AW3" s="1134"/>
      <c r="AX3" s="1137"/>
      <c r="AY3" s="1131"/>
      <c r="AZ3" s="1134"/>
      <c r="BA3" s="1137"/>
      <c r="BB3" s="1131"/>
      <c r="BC3" s="1134"/>
      <c r="BD3" s="1137"/>
      <c r="BE3" s="1131"/>
      <c r="BF3" s="1134"/>
      <c r="BG3" s="1140"/>
      <c r="BH3" s="453" t="s">
        <v>16</v>
      </c>
      <c r="BI3" s="643">
        <f>Dauer*(
COUNTIF(AnmeldeListe!$BH$10:$BH$37,vegan)*VLOOKUP(vegan,Essen,2,0)+
COUNTIF(AnmeldeListe!$BH$10:$BH$37,veget)*VLOOKUP(veget,Essen,2,0)+
(COUNTIF(AnmeldeListe!$BH$10:$BH$37,fleisch)+COUNTIFS(AnmeldeListe!$BH$10:$BH$37,"",AR10:AR37,"&gt;0"))*VLOOKUP(fleisch,Essen,2,0))+
Personen*(
VLOOKUP(AC4,Liste_Unterkunft,4,0)*IF(AC8&gt;0,1,0) + VLOOKUP(AD4,Liste_Unterkunft,4,0)*IF(AD8&gt;0,1,0) +
VLOOKUP(AE4,Liste_Unterkunft,4,0)*IF(AE8&gt;0,1,0) + VLOOKUP(AF4,Liste_Unterkunft,4,0)*IF(AF8&gt;0,1,0) +
VLOOKUP(AG4,Liste_Unterkunft,4,0)*IF(AG8&gt;0,1,0) + VLOOKUP(AH4,Liste_Unterkunft,4,0)*IF(AH8&gt;0,1,0) +
VLOOKUP(AI4,Liste_Unterkunft,4,0)*IF(AI8&gt;0,1,0) + VLOOKUP(AJ4,Liste_Unterkunft,4,0)*IF(AJ8&gt;0,1,0) +
VLOOKUP(AK4,Liste_Unterkunft,4,0)*IF(AK8&gt;0,1,0) + VLOOKUP(AL4,Liste_Unterkunft,4,0)*IF(AL8&gt;0,1,0) +
VLOOKUP(AM4,Liste_Unterkunft,4,0)*IF(AM8&gt;0,1,0) + VLOOKUP(AN4,Liste_Unterkunft,4,0)*IF(AN8&gt;0,1,0) +
VLOOKUP(AO4,Liste_Unterkunft,4,0)*IF(AO8&gt;0,1,0) + VLOOKUP(AP4,Liste_Unterkunft,4,0)*IF(AP8&gt;0,1,0) +
VLOOKUP(AQ4,Liste_Unterkunft,4,0)*IF(AQ8&gt;0,1,0))</f>
        <v>11.7925</v>
      </c>
      <c r="BJ3" s="454"/>
      <c r="BK3" s="804"/>
      <c r="BL3" s="1071"/>
      <c r="BM3" s="1071"/>
      <c r="BN3" s="1071"/>
      <c r="BO3" s="1074"/>
      <c r="BP3" s="1076"/>
      <c r="BQ3" s="1071"/>
      <c r="BR3" s="1071"/>
      <c r="BS3" s="1144"/>
      <c r="BT3" s="814"/>
    </row>
    <row r="4" spans="1:73" ht="22.5" customHeight="1">
      <c r="A4" s="742">
        <f>VLOOKUP(Sportart,HilfeListe!L15:M36,2,FALSE)</f>
        <v>6</v>
      </c>
      <c r="B4" s="1108" t="s">
        <v>19</v>
      </c>
      <c r="C4" s="1109"/>
      <c r="D4" s="571">
        <f>IF(SUM(AC45:AQ45)=0,AnzTeiln,SUM(AC45:AQ45)/COUNTIF(AC45:AQ45,"&gt;0"))</f>
        <v>1</v>
      </c>
      <c r="E4" s="457" t="s">
        <v>20</v>
      </c>
      <c r="F4" s="1102"/>
      <c r="G4" s="1102"/>
      <c r="H4" s="755"/>
      <c r="I4" s="782"/>
      <c r="J4" s="458" t="s">
        <v>21</v>
      </c>
      <c r="K4" s="451" t="s">
        <v>22</v>
      </c>
      <c r="L4" s="854" t="s">
        <v>23</v>
      </c>
      <c r="M4" s="855" t="s">
        <v>23</v>
      </c>
      <c r="N4" s="854" t="s">
        <v>23</v>
      </c>
      <c r="O4" s="856" t="s">
        <v>24</v>
      </c>
      <c r="P4" s="855" t="s">
        <v>24</v>
      </c>
      <c r="Q4" s="854" t="s">
        <v>25</v>
      </c>
      <c r="R4" s="857" t="s">
        <v>24</v>
      </c>
      <c r="S4" s="858" t="s">
        <v>24</v>
      </c>
      <c r="T4" s="854" t="s">
        <v>24</v>
      </c>
      <c r="U4" s="854" t="s">
        <v>24</v>
      </c>
      <c r="V4" s="451" t="s">
        <v>26</v>
      </c>
      <c r="W4" s="451" t="s">
        <v>27</v>
      </c>
      <c r="X4" s="934" t="s">
        <v>15</v>
      </c>
      <c r="Y4" s="935">
        <f>Y3/Dauer/(IF(AnzTeiln=0,1,AnzTeiln))</f>
        <v>50.11999999999999</v>
      </c>
      <c r="Z4" s="792"/>
      <c r="AA4" s="462"/>
      <c r="AB4" s="463" t="s">
        <v>28</v>
      </c>
      <c r="AC4" s="464"/>
      <c r="AD4" s="465" t="s">
        <v>29</v>
      </c>
      <c r="AE4" s="466" t="s">
        <v>30</v>
      </c>
      <c r="AF4" s="464" t="s">
        <v>30</v>
      </c>
      <c r="AG4" s="465"/>
      <c r="AH4" s="466"/>
      <c r="AI4" s="464"/>
      <c r="AJ4" s="465"/>
      <c r="AK4" s="466"/>
      <c r="AL4" s="464"/>
      <c r="AM4" s="465"/>
      <c r="AN4" s="467"/>
      <c r="AO4" s="468"/>
      <c r="AP4" s="465"/>
      <c r="AQ4" s="466"/>
      <c r="AR4" s="1129"/>
      <c r="AS4" s="1132"/>
      <c r="AT4" s="1135"/>
      <c r="AU4" s="1138"/>
      <c r="AV4" s="1132"/>
      <c r="AW4" s="1135"/>
      <c r="AX4" s="1138"/>
      <c r="AY4" s="1132"/>
      <c r="AZ4" s="1135"/>
      <c r="BA4" s="1138"/>
      <c r="BB4" s="1132"/>
      <c r="BC4" s="1135"/>
      <c r="BD4" s="1138"/>
      <c r="BE4" s="1132"/>
      <c r="BF4" s="1135"/>
      <c r="BG4" s="1141"/>
      <c r="BH4" s="469" t="s">
        <v>15</v>
      </c>
      <c r="BI4" s="644">
        <f>BI3/Dauer/Personen</f>
        <v>4.7170000000000005</v>
      </c>
      <c r="BJ4" s="470"/>
      <c r="BK4" s="805"/>
      <c r="BL4" s="1068" t="s">
        <v>31</v>
      </c>
      <c r="BM4" s="1068" t="s">
        <v>32</v>
      </c>
      <c r="BN4" s="1068" t="s">
        <v>33</v>
      </c>
      <c r="BO4" s="1145" t="s">
        <v>34</v>
      </c>
      <c r="BP4" s="1147" t="s">
        <v>35</v>
      </c>
      <c r="BQ4" s="1068" t="s">
        <v>36</v>
      </c>
      <c r="BR4" s="1068" t="s">
        <v>37</v>
      </c>
      <c r="BS4" s="471"/>
      <c r="BT4" s="815"/>
    </row>
    <row r="5" spans="1:73" ht="22.5" customHeight="1">
      <c r="A5" s="842" t="s">
        <v>38</v>
      </c>
      <c r="B5" s="324">
        <v>45842</v>
      </c>
      <c r="C5" s="327">
        <v>45845</v>
      </c>
      <c r="D5" s="572">
        <f>IF(SUM(AC8:AQ8)=0,1+EndeDatum-StartDatum,1+(COUNTIF(AC45:AQ45,"&gt;0")))-IF(StartZeit=Liste_Startzeit_Nachmittag,0.5,0)</f>
        <v>2.5</v>
      </c>
      <c r="E5" s="457" t="s">
        <v>39</v>
      </c>
      <c r="F5" s="1102"/>
      <c r="G5" s="1102"/>
      <c r="H5" s="755"/>
      <c r="I5" s="782"/>
      <c r="J5" s="472" t="s">
        <v>40</v>
      </c>
      <c r="K5" s="945">
        <f t="shared" ref="K5:V5" si="0">VLOOKUP(K4,Liste_TransportDAV,4,0)</f>
        <v>1.7735849056603774</v>
      </c>
      <c r="L5" s="870">
        <f t="shared" si="0"/>
        <v>6.7547169811320753</v>
      </c>
      <c r="M5" s="870">
        <f t="shared" si="0"/>
        <v>6.7547169811320753</v>
      </c>
      <c r="N5" s="871">
        <f t="shared" si="0"/>
        <v>6.7547169811320753</v>
      </c>
      <c r="O5" s="872">
        <f t="shared" si="0"/>
        <v>7.7155172413793105</v>
      </c>
      <c r="P5" s="870">
        <f t="shared" si="0"/>
        <v>7.7155172413793105</v>
      </c>
      <c r="Q5" s="871">
        <f t="shared" si="0"/>
        <v>1.7735849056603774</v>
      </c>
      <c r="R5" s="873">
        <f t="shared" si="0"/>
        <v>7.7155172413793105</v>
      </c>
      <c r="S5" s="874">
        <f t="shared" si="0"/>
        <v>7.7155172413793105</v>
      </c>
      <c r="T5" s="871">
        <f t="shared" si="0"/>
        <v>7.7155172413793105</v>
      </c>
      <c r="U5" s="871">
        <f t="shared" si="0"/>
        <v>7.7155172413793105</v>
      </c>
      <c r="V5" s="956">
        <f t="shared" si="0"/>
        <v>6.7547169811320753</v>
      </c>
      <c r="W5" s="473">
        <v>0</v>
      </c>
      <c r="X5" s="936"/>
      <c r="Y5" s="937"/>
      <c r="Z5" s="792"/>
      <c r="AA5" s="462"/>
      <c r="AB5" s="463" t="s">
        <v>41</v>
      </c>
      <c r="AC5" s="574">
        <v>0</v>
      </c>
      <c r="AD5" s="575">
        <f>AC5+1</f>
        <v>1</v>
      </c>
      <c r="AE5" s="576">
        <f t="shared" ref="AE5:AQ5" si="1">AD5+1</f>
        <v>2</v>
      </c>
      <c r="AF5" s="577">
        <f t="shared" si="1"/>
        <v>3</v>
      </c>
      <c r="AG5" s="575">
        <f t="shared" si="1"/>
        <v>4</v>
      </c>
      <c r="AH5" s="576">
        <f t="shared" si="1"/>
        <v>5</v>
      </c>
      <c r="AI5" s="577">
        <f t="shared" si="1"/>
        <v>6</v>
      </c>
      <c r="AJ5" s="575">
        <f t="shared" si="1"/>
        <v>7</v>
      </c>
      <c r="AK5" s="576">
        <f t="shared" si="1"/>
        <v>8</v>
      </c>
      <c r="AL5" s="577">
        <f t="shared" si="1"/>
        <v>9</v>
      </c>
      <c r="AM5" s="575">
        <f t="shared" si="1"/>
        <v>10</v>
      </c>
      <c r="AN5" s="578">
        <f t="shared" si="1"/>
        <v>11</v>
      </c>
      <c r="AO5" s="579">
        <f t="shared" si="1"/>
        <v>12</v>
      </c>
      <c r="AP5" s="575">
        <f t="shared" si="1"/>
        <v>13</v>
      </c>
      <c r="AQ5" s="576">
        <f t="shared" si="1"/>
        <v>14</v>
      </c>
      <c r="AR5" s="1130"/>
      <c r="AS5" s="1133"/>
      <c r="AT5" s="1136"/>
      <c r="AU5" s="1139"/>
      <c r="AV5" s="1133"/>
      <c r="AW5" s="1136"/>
      <c r="AX5" s="1139"/>
      <c r="AY5" s="1133"/>
      <c r="AZ5" s="1136"/>
      <c r="BA5" s="1139"/>
      <c r="BB5" s="1133"/>
      <c r="BC5" s="1136"/>
      <c r="BD5" s="1139"/>
      <c r="BE5" s="1133"/>
      <c r="BF5" s="1136"/>
      <c r="BG5" s="1142"/>
      <c r="BH5" s="474" t="s">
        <v>42</v>
      </c>
      <c r="BI5" s="645"/>
      <c r="BJ5" s="470"/>
      <c r="BK5" s="805"/>
      <c r="BL5" s="1069"/>
      <c r="BM5" s="1069"/>
      <c r="BN5" s="1069"/>
      <c r="BO5" s="1146"/>
      <c r="BP5" s="1148"/>
      <c r="BQ5" s="1069"/>
      <c r="BR5" s="1069"/>
      <c r="BS5" s="1126" t="s">
        <v>43</v>
      </c>
      <c r="BT5" s="815"/>
    </row>
    <row r="6" spans="1:73" ht="16.5" customHeight="1">
      <c r="A6" s="771"/>
      <c r="B6" s="325" t="s">
        <v>44</v>
      </c>
      <c r="C6" s="875" t="s">
        <v>44</v>
      </c>
      <c r="D6" s="418">
        <v>700</v>
      </c>
      <c r="E6" s="448" t="s">
        <v>45</v>
      </c>
      <c r="F6" s="1102"/>
      <c r="G6" s="1102"/>
      <c r="H6" s="755"/>
      <c r="I6" s="782"/>
      <c r="J6" s="472" t="s">
        <v>46</v>
      </c>
      <c r="K6" s="944">
        <f t="shared" ref="K6:V6" si="2">VLOOKUP(K4,Liste_TransportDAV,2,0)</f>
        <v>2</v>
      </c>
      <c r="L6" s="944">
        <f t="shared" si="2"/>
        <v>2.65</v>
      </c>
      <c r="M6" s="944">
        <f t="shared" si="2"/>
        <v>2.65</v>
      </c>
      <c r="N6" s="946">
        <f t="shared" si="2"/>
        <v>2.65</v>
      </c>
      <c r="O6" s="944">
        <f t="shared" si="2"/>
        <v>2.3199999999999998</v>
      </c>
      <c r="P6" s="947">
        <f t="shared" si="2"/>
        <v>2.3199999999999998</v>
      </c>
      <c r="Q6" s="946">
        <f t="shared" si="2"/>
        <v>2</v>
      </c>
      <c r="R6" s="948">
        <f t="shared" si="2"/>
        <v>2.3199999999999998</v>
      </c>
      <c r="S6" s="949">
        <f t="shared" si="2"/>
        <v>2.3199999999999998</v>
      </c>
      <c r="T6" s="946">
        <f t="shared" si="2"/>
        <v>2.3199999999999998</v>
      </c>
      <c r="U6" s="946">
        <f t="shared" si="2"/>
        <v>2.3199999999999998</v>
      </c>
      <c r="V6" s="944">
        <f t="shared" si="2"/>
        <v>2.65</v>
      </c>
      <c r="W6" s="956">
        <f>VLOOKUP(W4,HilfeListe!$Z15:$AA36,2,0)</f>
        <v>0</v>
      </c>
      <c r="X6" s="938"/>
      <c r="Y6" s="939"/>
      <c r="Z6" s="792"/>
      <c r="AA6" s="462"/>
      <c r="AB6" s="463" t="s">
        <v>47</v>
      </c>
      <c r="AC6" s="580">
        <f>B5-1</f>
        <v>45841</v>
      </c>
      <c r="AD6" s="581">
        <f>AC6+1</f>
        <v>45842</v>
      </c>
      <c r="AE6" s="582">
        <f t="shared" ref="AE6:AQ6" si="3">AD6+1</f>
        <v>45843</v>
      </c>
      <c r="AF6" s="580">
        <f t="shared" si="3"/>
        <v>45844</v>
      </c>
      <c r="AG6" s="581">
        <f t="shared" si="3"/>
        <v>45845</v>
      </c>
      <c r="AH6" s="582">
        <f t="shared" si="3"/>
        <v>45846</v>
      </c>
      <c r="AI6" s="580">
        <f t="shared" si="3"/>
        <v>45847</v>
      </c>
      <c r="AJ6" s="581">
        <f t="shared" si="3"/>
        <v>45848</v>
      </c>
      <c r="AK6" s="582">
        <f t="shared" si="3"/>
        <v>45849</v>
      </c>
      <c r="AL6" s="580">
        <f t="shared" si="3"/>
        <v>45850</v>
      </c>
      <c r="AM6" s="581">
        <f t="shared" si="3"/>
        <v>45851</v>
      </c>
      <c r="AN6" s="583">
        <f t="shared" si="3"/>
        <v>45852</v>
      </c>
      <c r="AO6" s="584">
        <f t="shared" si="3"/>
        <v>45853</v>
      </c>
      <c r="AP6" s="581">
        <f t="shared" si="3"/>
        <v>45854</v>
      </c>
      <c r="AQ6" s="582">
        <f t="shared" si="3"/>
        <v>45855</v>
      </c>
      <c r="AR6" s="475" t="s">
        <v>48</v>
      </c>
      <c r="AS6" s="476" t="s">
        <v>49</v>
      </c>
      <c r="AT6" s="460" t="s">
        <v>50</v>
      </c>
      <c r="AU6" s="461" t="s">
        <v>50</v>
      </c>
      <c r="AV6" s="477" t="s">
        <v>50</v>
      </c>
      <c r="AW6" s="460" t="s">
        <v>50</v>
      </c>
      <c r="AX6" s="461" t="s">
        <v>50</v>
      </c>
      <c r="AY6" s="477" t="s">
        <v>50</v>
      </c>
      <c r="AZ6" s="460" t="s">
        <v>50</v>
      </c>
      <c r="BA6" s="461" t="s">
        <v>50</v>
      </c>
      <c r="BB6" s="477" t="s">
        <v>50</v>
      </c>
      <c r="BC6" s="460" t="s">
        <v>50</v>
      </c>
      <c r="BD6" s="461" t="s">
        <v>50</v>
      </c>
      <c r="BE6" s="477" t="s">
        <v>50</v>
      </c>
      <c r="BF6" s="460" t="s">
        <v>50</v>
      </c>
      <c r="BG6" s="459" t="s">
        <v>50</v>
      </c>
      <c r="BH6" s="1029" t="s">
        <v>51</v>
      </c>
      <c r="BI6" s="646"/>
      <c r="BJ6" s="470"/>
      <c r="BK6" s="805"/>
      <c r="BL6" s="1069"/>
      <c r="BM6" s="1069"/>
      <c r="BN6" s="1069"/>
      <c r="BO6" s="1146"/>
      <c r="BP6" s="1148"/>
      <c r="BQ6" s="1069"/>
      <c r="BR6" s="1069"/>
      <c r="BS6" s="1127"/>
      <c r="BT6" s="815"/>
    </row>
    <row r="7" spans="1:73" ht="16.5" customHeight="1">
      <c r="A7" s="770"/>
      <c r="B7" s="326" t="s">
        <v>52</v>
      </c>
      <c r="C7" s="328" t="s">
        <v>52</v>
      </c>
      <c r="D7" s="741">
        <v>0</v>
      </c>
      <c r="E7" s="448" t="s">
        <v>45</v>
      </c>
      <c r="F7" s="1102"/>
      <c r="G7" s="1102"/>
      <c r="H7" s="755"/>
      <c r="I7" s="782"/>
      <c r="J7" s="472" t="s">
        <v>53</v>
      </c>
      <c r="K7" s="950">
        <f>ROUND((K5*K6*10)/(1),0)</f>
        <v>35</v>
      </c>
      <c r="L7" s="951">
        <f t="shared" ref="L7:W7" si="4">IF((L8-L9)=0,0,ROUND((L5*L6*10)/(L8-L9),0))</f>
        <v>179</v>
      </c>
      <c r="M7" s="951">
        <f t="shared" si="4"/>
        <v>36</v>
      </c>
      <c r="N7" s="952">
        <f t="shared" si="4"/>
        <v>36</v>
      </c>
      <c r="O7" s="950">
        <f t="shared" si="4"/>
        <v>36</v>
      </c>
      <c r="P7" s="951">
        <f t="shared" si="4"/>
        <v>0</v>
      </c>
      <c r="Q7" s="952">
        <f t="shared" si="4"/>
        <v>0</v>
      </c>
      <c r="R7" s="953">
        <f t="shared" si="4"/>
        <v>0</v>
      </c>
      <c r="S7" s="954">
        <f t="shared" si="4"/>
        <v>0</v>
      </c>
      <c r="T7" s="955">
        <f t="shared" si="4"/>
        <v>0</v>
      </c>
      <c r="U7" s="952">
        <f t="shared" si="4"/>
        <v>0</v>
      </c>
      <c r="V7" s="950">
        <f>IF((V8-V9)=0,0,ROUND((V5*V6*10),0))</f>
        <v>0</v>
      </c>
      <c r="W7" s="950">
        <f t="shared" si="4"/>
        <v>0</v>
      </c>
      <c r="X7" s="1100">
        <f>(K7*K8 +
IF(L45&lt;0,0,L7*(L8-L9)) + IF(M45&lt;0,0,M7*(M8-M9)) +
IF(N45&lt;0,0,N7*(N8-N9)) + IF(O45&lt;0,0,O7*(O8-O9)) +
IF(P45&lt;0,0,P7*(P8-P9)) + IF(Q45&lt;0,0,Q7*(Q8-Q9)) +
IF(R45&lt;0,0,R7*(R8-R9)) + IF(S45&lt;0,0,S7*(S8-S9)) +
IF(T45&lt;0,0,T7*(T8-T9)) + IF(U45&lt;0,0,U7*(U8-U9)) +
V8*V7/5 + IF(W45&lt;0,0,W7*(W8-W9))
) /(IF(AnzTeiln=0,1,AnzTeiln))</f>
        <v>179</v>
      </c>
      <c r="Y7" s="1100"/>
      <c r="Z7" s="792"/>
      <c r="AA7" s="462"/>
      <c r="AB7" s="463" t="s">
        <v>54</v>
      </c>
      <c r="AC7" s="585">
        <f>B5-1</f>
        <v>45841</v>
      </c>
      <c r="AD7" s="586">
        <f>AC7+1</f>
        <v>45842</v>
      </c>
      <c r="AE7" s="587">
        <f t="shared" ref="AE7:AQ7" si="5">AD7+1</f>
        <v>45843</v>
      </c>
      <c r="AF7" s="585">
        <f t="shared" si="5"/>
        <v>45844</v>
      </c>
      <c r="AG7" s="586">
        <f t="shared" si="5"/>
        <v>45845</v>
      </c>
      <c r="AH7" s="587">
        <f t="shared" si="5"/>
        <v>45846</v>
      </c>
      <c r="AI7" s="585">
        <f t="shared" si="5"/>
        <v>45847</v>
      </c>
      <c r="AJ7" s="586">
        <f t="shared" si="5"/>
        <v>45848</v>
      </c>
      <c r="AK7" s="587">
        <f t="shared" si="5"/>
        <v>45849</v>
      </c>
      <c r="AL7" s="585">
        <f t="shared" si="5"/>
        <v>45850</v>
      </c>
      <c r="AM7" s="586">
        <f t="shared" si="5"/>
        <v>45851</v>
      </c>
      <c r="AN7" s="588">
        <f t="shared" si="5"/>
        <v>45852</v>
      </c>
      <c r="AO7" s="589">
        <f t="shared" si="5"/>
        <v>45853</v>
      </c>
      <c r="AP7" s="586">
        <f t="shared" si="5"/>
        <v>45854</v>
      </c>
      <c r="AQ7" s="587">
        <f t="shared" si="5"/>
        <v>45855</v>
      </c>
      <c r="AR7" s="475" t="s">
        <v>55</v>
      </c>
      <c r="AS7" s="478" t="s">
        <v>56</v>
      </c>
      <c r="AT7" s="479" t="s">
        <v>56</v>
      </c>
      <c r="AU7" s="480" t="s">
        <v>56</v>
      </c>
      <c r="AV7" s="478" t="s">
        <v>56</v>
      </c>
      <c r="AW7" s="479" t="s">
        <v>56</v>
      </c>
      <c r="AX7" s="480" t="s">
        <v>56</v>
      </c>
      <c r="AY7" s="478" t="s">
        <v>56</v>
      </c>
      <c r="AZ7" s="479" t="s">
        <v>56</v>
      </c>
      <c r="BA7" s="480" t="s">
        <v>56</v>
      </c>
      <c r="BB7" s="478" t="s">
        <v>56</v>
      </c>
      <c r="BC7" s="479" t="s">
        <v>56</v>
      </c>
      <c r="BD7" s="480" t="s">
        <v>56</v>
      </c>
      <c r="BE7" s="478" t="s">
        <v>56</v>
      </c>
      <c r="BF7" s="479" t="s">
        <v>56</v>
      </c>
      <c r="BG7" s="481" t="s">
        <v>56</v>
      </c>
      <c r="BH7" s="1030" t="s">
        <v>57</v>
      </c>
      <c r="BI7" s="1033" t="s">
        <v>58</v>
      </c>
      <c r="BJ7" s="470"/>
      <c r="BK7" s="805"/>
      <c r="BL7" s="595">
        <f t="shared" ref="BL7:BR7" si="6">SUMIF(BL10:BL37,"&lt;0")</f>
        <v>0</v>
      </c>
      <c r="BM7" s="596">
        <f t="shared" si="6"/>
        <v>0</v>
      </c>
      <c r="BN7" s="596">
        <f t="shared" si="6"/>
        <v>0</v>
      </c>
      <c r="BO7" s="597">
        <f t="shared" si="6"/>
        <v>0</v>
      </c>
      <c r="BP7" s="598">
        <f t="shared" si="6"/>
        <v>0</v>
      </c>
      <c r="BQ7" s="596">
        <f t="shared" si="6"/>
        <v>0</v>
      </c>
      <c r="BR7" s="596">
        <f t="shared" si="6"/>
        <v>0</v>
      </c>
      <c r="BS7" s="455" t="s">
        <v>59</v>
      </c>
      <c r="BT7" s="815"/>
    </row>
    <row r="8" spans="1:73" ht="17.25" customHeight="1">
      <c r="A8" s="844"/>
      <c r="B8" s="860" t="s">
        <v>60</v>
      </c>
      <c r="C8" s="845">
        <v>0</v>
      </c>
      <c r="D8" s="419">
        <v>0</v>
      </c>
      <c r="E8" s="482" t="s">
        <v>45</v>
      </c>
      <c r="F8" s="1102"/>
      <c r="G8" s="1102"/>
      <c r="H8" s="756"/>
      <c r="I8" s="783"/>
      <c r="J8" s="483" t="s">
        <v>61</v>
      </c>
      <c r="K8" s="484">
        <f>COUNTIF(K10:K37,TRUE)</f>
        <v>0</v>
      </c>
      <c r="L8" s="487">
        <v>5</v>
      </c>
      <c r="M8" s="486">
        <v>5</v>
      </c>
      <c r="N8" s="487">
        <v>5</v>
      </c>
      <c r="O8" s="485">
        <v>5</v>
      </c>
      <c r="P8" s="486"/>
      <c r="Q8" s="487"/>
      <c r="R8" s="488"/>
      <c r="S8" s="489"/>
      <c r="T8" s="487"/>
      <c r="U8" s="487"/>
      <c r="V8" s="941">
        <f>5*(COUNTIF(V10:V37,TRUE)+
AnzTeiln-SUM(J10:J37))</f>
        <v>0</v>
      </c>
      <c r="W8" s="957">
        <f>COUNTIF(W10:W37,TRUE)</f>
        <v>0</v>
      </c>
      <c r="X8" s="1101">
        <f>Personen/(IF(SUM(K45:W45)&gt;0,SUM(K45:W45),SUM(K8:W8)))</f>
        <v>0.20000048000115206</v>
      </c>
      <c r="Y8" s="1101"/>
      <c r="Z8" s="793"/>
      <c r="AA8" s="490"/>
      <c r="AB8" s="491" t="s">
        <v>62</v>
      </c>
      <c r="AC8" s="492"/>
      <c r="AD8" s="493">
        <v>1</v>
      </c>
      <c r="AE8" s="494">
        <v>1</v>
      </c>
      <c r="AF8" s="492"/>
      <c r="AG8" s="493"/>
      <c r="AH8" s="494"/>
      <c r="AI8" s="492"/>
      <c r="AJ8" s="493"/>
      <c r="AK8" s="494"/>
      <c r="AL8" s="492"/>
      <c r="AM8" s="493"/>
      <c r="AN8" s="495"/>
      <c r="AO8" s="496"/>
      <c r="AP8" s="493"/>
      <c r="AQ8" s="494"/>
      <c r="AR8" s="497" t="s">
        <v>62</v>
      </c>
      <c r="AS8" s="498">
        <v>1</v>
      </c>
      <c r="AT8" s="485">
        <v>0</v>
      </c>
      <c r="AU8" s="488">
        <v>0</v>
      </c>
      <c r="AV8" s="498">
        <v>0</v>
      </c>
      <c r="AW8" s="485">
        <v>0</v>
      </c>
      <c r="AX8" s="488">
        <v>0</v>
      </c>
      <c r="AY8" s="498"/>
      <c r="AZ8" s="485"/>
      <c r="BA8" s="488"/>
      <c r="BB8" s="498"/>
      <c r="BC8" s="485"/>
      <c r="BD8" s="488"/>
      <c r="BE8" s="498"/>
      <c r="BF8" s="485"/>
      <c r="BG8" s="486"/>
      <c r="BH8" s="1031" t="s">
        <v>63</v>
      </c>
      <c r="BI8" s="499">
        <v>0</v>
      </c>
      <c r="BJ8" s="500"/>
      <c r="BK8" s="806"/>
      <c r="BL8" s="598">
        <f t="shared" ref="BL8:BR8" si="7">SUMIF(BL10:BL37,"&gt;0")</f>
        <v>0</v>
      </c>
      <c r="BM8" s="599">
        <f t="shared" si="7"/>
        <v>0</v>
      </c>
      <c r="BN8" s="599">
        <f t="shared" si="7"/>
        <v>0</v>
      </c>
      <c r="BO8" s="600">
        <f t="shared" si="7"/>
        <v>0</v>
      </c>
      <c r="BP8" s="598">
        <f t="shared" si="7"/>
        <v>0</v>
      </c>
      <c r="BQ8" s="599">
        <f t="shared" si="7"/>
        <v>0</v>
      </c>
      <c r="BR8" s="599">
        <f t="shared" si="7"/>
        <v>0</v>
      </c>
      <c r="BS8" s="455" t="s">
        <v>64</v>
      </c>
      <c r="BT8" s="816"/>
    </row>
    <row r="9" spans="1:73" s="1014" customFormat="1" ht="15.75">
      <c r="A9" s="987">
        <f>COUNTIF(A10:A37,TRUE)</f>
        <v>1</v>
      </c>
      <c r="B9" s="988" t="s">
        <v>65</v>
      </c>
      <c r="C9" s="989" t="s">
        <v>17</v>
      </c>
      <c r="D9" s="990" t="s">
        <v>66</v>
      </c>
      <c r="E9" s="991" t="s">
        <v>1</v>
      </c>
      <c r="F9" s="992" t="s">
        <v>67</v>
      </c>
      <c r="G9" s="993" t="s">
        <v>68</v>
      </c>
      <c r="H9" s="994"/>
      <c r="I9" s="995" t="s">
        <v>69</v>
      </c>
      <c r="J9" s="996">
        <f>SUM(K9:V9)</f>
        <v>4</v>
      </c>
      <c r="K9" s="996">
        <f t="shared" ref="K9:V9" si="8">IF(COUNTIF(K10:K37,TRUE)=0,,K8-COUNTIF(K10:K37,TRUE))</f>
        <v>0</v>
      </c>
      <c r="L9" s="996">
        <f t="shared" si="8"/>
        <v>4</v>
      </c>
      <c r="M9" s="997">
        <f t="shared" si="8"/>
        <v>0</v>
      </c>
      <c r="N9" s="996">
        <f t="shared" si="8"/>
        <v>0</v>
      </c>
      <c r="O9" s="996">
        <f t="shared" si="8"/>
        <v>0</v>
      </c>
      <c r="P9" s="997">
        <f t="shared" si="8"/>
        <v>0</v>
      </c>
      <c r="Q9" s="996">
        <f t="shared" si="8"/>
        <v>0</v>
      </c>
      <c r="R9" s="996">
        <f t="shared" si="8"/>
        <v>0</v>
      </c>
      <c r="S9" s="997">
        <f t="shared" si="8"/>
        <v>0</v>
      </c>
      <c r="T9" s="996">
        <f t="shared" si="8"/>
        <v>0</v>
      </c>
      <c r="U9" s="996">
        <f t="shared" si="8"/>
        <v>0</v>
      </c>
      <c r="V9" s="997">
        <f t="shared" si="8"/>
        <v>0</v>
      </c>
      <c r="W9" s="998">
        <v>0</v>
      </c>
      <c r="X9" s="998" t="s">
        <v>70</v>
      </c>
      <c r="Y9" s="999" t="s">
        <v>71</v>
      </c>
      <c r="Z9" s="1000"/>
      <c r="AA9" s="1001" t="s">
        <v>69</v>
      </c>
      <c r="AB9" s="1002" t="s">
        <v>72</v>
      </c>
      <c r="AC9" s="1003">
        <f t="shared" ref="AC9:AQ9" si="9">AC8-COUNTIF(AC10:AC37,TRUE)</f>
        <v>0</v>
      </c>
      <c r="AD9" s="1004">
        <f t="shared" si="9"/>
        <v>0</v>
      </c>
      <c r="AE9" s="1005">
        <f t="shared" si="9"/>
        <v>0</v>
      </c>
      <c r="AF9" s="1003">
        <f t="shared" si="9"/>
        <v>0</v>
      </c>
      <c r="AG9" s="1004">
        <f t="shared" si="9"/>
        <v>0</v>
      </c>
      <c r="AH9" s="1005">
        <f t="shared" si="9"/>
        <v>0</v>
      </c>
      <c r="AI9" s="1003">
        <f t="shared" si="9"/>
        <v>0</v>
      </c>
      <c r="AJ9" s="1004">
        <f t="shared" si="9"/>
        <v>0</v>
      </c>
      <c r="AK9" s="1005">
        <f t="shared" si="9"/>
        <v>0</v>
      </c>
      <c r="AL9" s="1003">
        <f t="shared" si="9"/>
        <v>0</v>
      </c>
      <c r="AM9" s="1004">
        <f t="shared" si="9"/>
        <v>0</v>
      </c>
      <c r="AN9" s="1006">
        <f t="shared" si="9"/>
        <v>0</v>
      </c>
      <c r="AO9" s="1007">
        <f t="shared" si="9"/>
        <v>0</v>
      </c>
      <c r="AP9" s="1004">
        <f t="shared" si="9"/>
        <v>0</v>
      </c>
      <c r="AQ9" s="1005">
        <f t="shared" si="9"/>
        <v>0</v>
      </c>
      <c r="AR9" s="1008">
        <f>SUM(AS8:BG8)-COUNTIF(AS10:BG37,TRUE)</f>
        <v>0</v>
      </c>
      <c r="AS9" s="1003">
        <f t="shared" ref="AS9:BG9" si="10">AS8-COUNTIF(AS10:AS37,TRUE)</f>
        <v>0</v>
      </c>
      <c r="AT9" s="1004">
        <f t="shared" si="10"/>
        <v>0</v>
      </c>
      <c r="AU9" s="1005">
        <f t="shared" si="10"/>
        <v>0</v>
      </c>
      <c r="AV9" s="1003">
        <f t="shared" si="10"/>
        <v>0</v>
      </c>
      <c r="AW9" s="1004">
        <f t="shared" si="10"/>
        <v>0</v>
      </c>
      <c r="AX9" s="1005">
        <f t="shared" si="10"/>
        <v>0</v>
      </c>
      <c r="AY9" s="1003">
        <f t="shared" si="10"/>
        <v>0</v>
      </c>
      <c r="AZ9" s="1004">
        <f t="shared" si="10"/>
        <v>0</v>
      </c>
      <c r="BA9" s="1005">
        <f t="shared" si="10"/>
        <v>0</v>
      </c>
      <c r="BB9" s="1003">
        <f t="shared" ref="BB9:BD9" si="11">BB8-COUNTIF(BB10:BB37,TRUE)</f>
        <v>0</v>
      </c>
      <c r="BC9" s="1004">
        <f t="shared" si="11"/>
        <v>0</v>
      </c>
      <c r="BD9" s="1005">
        <f t="shared" si="11"/>
        <v>0</v>
      </c>
      <c r="BE9" s="1003">
        <f t="shared" si="10"/>
        <v>0</v>
      </c>
      <c r="BF9" s="1004">
        <f t="shared" si="10"/>
        <v>0</v>
      </c>
      <c r="BG9" s="1006">
        <f t="shared" si="10"/>
        <v>0</v>
      </c>
      <c r="BH9" s="1032"/>
      <c r="BI9" s="1009">
        <f>BI8-SUM(BI10:BI38)</f>
        <v>0</v>
      </c>
      <c r="BJ9" s="1010"/>
      <c r="BK9" s="1011" t="s">
        <v>69</v>
      </c>
      <c r="BL9" s="601">
        <f t="shared" ref="BL9:BO9" si="12">BL8+BL7</f>
        <v>0</v>
      </c>
      <c r="BM9" s="602">
        <f t="shared" si="12"/>
        <v>0</v>
      </c>
      <c r="BN9" s="602">
        <f t="shared" si="12"/>
        <v>0</v>
      </c>
      <c r="BO9" s="603">
        <f t="shared" si="12"/>
        <v>0</v>
      </c>
      <c r="BP9" s="601">
        <f>BP8+BP7</f>
        <v>0</v>
      </c>
      <c r="BQ9" s="602">
        <f t="shared" ref="BQ9:BR9" si="13">BQ8+BQ7</f>
        <v>0</v>
      </c>
      <c r="BR9" s="602">
        <f t="shared" si="13"/>
        <v>0</v>
      </c>
      <c r="BS9" s="501" t="s">
        <v>73</v>
      </c>
      <c r="BT9" s="1012"/>
      <c r="BU9" s="1013"/>
    </row>
    <row r="10" spans="1:73" s="510" customFormat="1" ht="15.75">
      <c r="A10" s="772" t="b">
        <f>IF(B10="",FALSE,TRUE)</f>
        <v>1</v>
      </c>
      <c r="B10" s="2" t="s">
        <v>74</v>
      </c>
      <c r="C10" s="2" t="s">
        <v>75</v>
      </c>
      <c r="D10" s="317" t="s">
        <v>76</v>
      </c>
      <c r="E10" s="976" t="b">
        <v>1</v>
      </c>
      <c r="F10" s="16"/>
      <c r="G10" s="423"/>
      <c r="H10" s="759"/>
      <c r="I10" s="786"/>
      <c r="J10" s="977">
        <f t="shared" ref="J10:J12" si="14">COUNTIF(K10:W10,TRUE)</f>
        <v>1</v>
      </c>
      <c r="K10" s="329" t="b">
        <v>0</v>
      </c>
      <c r="L10" s="978" t="b">
        <v>1</v>
      </c>
      <c r="M10" s="437" t="b">
        <v>0</v>
      </c>
      <c r="N10" s="979" t="b">
        <v>0</v>
      </c>
      <c r="O10" s="978" t="b">
        <v>0</v>
      </c>
      <c r="P10" s="437" t="b">
        <v>0</v>
      </c>
      <c r="Q10" s="979" t="b">
        <v>0</v>
      </c>
      <c r="R10" s="978" t="b">
        <v>0</v>
      </c>
      <c r="S10" s="980" t="b">
        <v>0</v>
      </c>
      <c r="T10" s="979" t="b">
        <v>0</v>
      </c>
      <c r="U10" s="979" t="b">
        <v>0</v>
      </c>
      <c r="V10" s="978" t="b">
        <v>0</v>
      </c>
      <c r="W10" s="978" t="b">
        <v>0</v>
      </c>
      <c r="X10" s="29"/>
      <c r="Y10" s="30"/>
      <c r="Z10" s="796"/>
      <c r="AA10" s="406"/>
      <c r="AB10" s="30"/>
      <c r="AC10" s="359" t="b">
        <v>0</v>
      </c>
      <c r="AD10" s="349" t="b">
        <v>1</v>
      </c>
      <c r="AE10" s="347" t="b">
        <v>1</v>
      </c>
      <c r="AF10" s="359" t="b">
        <v>0</v>
      </c>
      <c r="AG10" s="349" t="b">
        <v>0</v>
      </c>
      <c r="AH10" s="347" t="b">
        <v>0</v>
      </c>
      <c r="AI10" s="359" t="b">
        <v>0</v>
      </c>
      <c r="AJ10" s="349" t="b">
        <v>0</v>
      </c>
      <c r="AK10" s="347" t="b">
        <v>0</v>
      </c>
      <c r="AL10" s="359" t="b">
        <v>0</v>
      </c>
      <c r="AM10" s="349" t="b">
        <v>0</v>
      </c>
      <c r="AN10" s="365" t="b">
        <v>0</v>
      </c>
      <c r="AO10" s="348" t="b">
        <v>0</v>
      </c>
      <c r="AP10" s="349" t="b">
        <v>0</v>
      </c>
      <c r="AQ10" s="981"/>
      <c r="AR10" s="592">
        <f t="shared" ref="AR10" si="15">COUNTIF(AS10:BG10,TRUE)</f>
        <v>1</v>
      </c>
      <c r="AS10" s="379" t="b">
        <v>1</v>
      </c>
      <c r="AT10" s="982" t="b">
        <v>0</v>
      </c>
      <c r="AU10" s="983" t="b">
        <v>0</v>
      </c>
      <c r="AV10" s="984" t="b">
        <v>0</v>
      </c>
      <c r="AW10" s="982" t="b">
        <v>0</v>
      </c>
      <c r="AX10" s="380" t="b">
        <v>0</v>
      </c>
      <c r="AY10" s="984" t="b">
        <v>0</v>
      </c>
      <c r="AZ10" s="982" t="b">
        <v>0</v>
      </c>
      <c r="BA10" s="983" t="b">
        <v>0</v>
      </c>
      <c r="BB10" s="984" t="b">
        <v>0</v>
      </c>
      <c r="BC10" s="982" t="b">
        <v>0</v>
      </c>
      <c r="BD10" s="983" t="b">
        <v>0</v>
      </c>
      <c r="BE10" s="984" t="b">
        <v>0</v>
      </c>
      <c r="BF10" s="982" t="b">
        <v>0</v>
      </c>
      <c r="BG10" s="985" t="b">
        <v>0</v>
      </c>
      <c r="BH10" s="986" t="s">
        <v>63</v>
      </c>
      <c r="BI10" s="1018"/>
      <c r="BJ10" s="400"/>
      <c r="BK10" s="809"/>
      <c r="BL10" s="413"/>
      <c r="BM10" s="50"/>
      <c r="BN10" s="50"/>
      <c r="BO10" s="51"/>
      <c r="BP10" s="52"/>
      <c r="BQ10" s="53"/>
      <c r="BR10" s="53"/>
      <c r="BS10" s="10"/>
      <c r="BT10" s="819"/>
      <c r="BU10" s="509"/>
    </row>
    <row r="11" spans="1:73" s="503" customFormat="1" ht="15.75">
      <c r="A11" s="773" t="b">
        <f>IF(B11="",FALSE,TRUE)</f>
        <v>0</v>
      </c>
      <c r="B11" s="1066"/>
      <c r="C11" s="3"/>
      <c r="D11" s="318"/>
      <c r="E11" s="330" t="b">
        <v>0</v>
      </c>
      <c r="F11" s="4"/>
      <c r="G11" s="420"/>
      <c r="H11" s="757"/>
      <c r="I11" s="784"/>
      <c r="J11" s="573">
        <f t="shared" si="14"/>
        <v>0</v>
      </c>
      <c r="K11" s="330" t="b">
        <v>0</v>
      </c>
      <c r="L11" s="430" t="b">
        <v>0</v>
      </c>
      <c r="M11" s="431" t="b">
        <v>0</v>
      </c>
      <c r="N11" s="432" t="b">
        <v>0</v>
      </c>
      <c r="O11" s="330" t="b">
        <v>0</v>
      </c>
      <c r="P11" s="431" t="b">
        <v>0</v>
      </c>
      <c r="Q11" s="432" t="b">
        <v>0</v>
      </c>
      <c r="R11" s="330" t="b">
        <v>0</v>
      </c>
      <c r="S11" s="431" t="b">
        <v>0</v>
      </c>
      <c r="T11" s="432" t="b">
        <v>0</v>
      </c>
      <c r="U11" s="432" t="b">
        <v>0</v>
      </c>
      <c r="V11" s="330" t="b">
        <v>0</v>
      </c>
      <c r="W11" s="330" t="b">
        <v>0</v>
      </c>
      <c r="X11" s="18"/>
      <c r="Y11" s="19"/>
      <c r="Z11" s="794"/>
      <c r="AA11" s="404"/>
      <c r="AB11" s="19"/>
      <c r="AC11" s="356" t="b">
        <v>0</v>
      </c>
      <c r="AD11" s="340" t="b">
        <v>0</v>
      </c>
      <c r="AE11" s="338" t="b">
        <v>0</v>
      </c>
      <c r="AF11" s="356" t="b">
        <v>0</v>
      </c>
      <c r="AG11" s="340" t="b">
        <v>0</v>
      </c>
      <c r="AH11" s="338" t="b">
        <v>0</v>
      </c>
      <c r="AI11" s="356" t="b">
        <v>0</v>
      </c>
      <c r="AJ11" s="340" t="b">
        <v>0</v>
      </c>
      <c r="AK11" s="338" t="b">
        <v>0</v>
      </c>
      <c r="AL11" s="356" t="b">
        <v>0</v>
      </c>
      <c r="AM11" s="340" t="b">
        <v>0</v>
      </c>
      <c r="AN11" s="362" t="b">
        <v>0</v>
      </c>
      <c r="AO11" s="339" t="b">
        <v>0</v>
      </c>
      <c r="AP11" s="340" t="b">
        <v>0</v>
      </c>
      <c r="AQ11" s="20"/>
      <c r="AR11" s="590">
        <f>COUNTIF(AS11:BG11,TRUE)</f>
        <v>0</v>
      </c>
      <c r="AS11" s="369" t="b">
        <v>0</v>
      </c>
      <c r="AT11" s="370" t="b">
        <v>0</v>
      </c>
      <c r="AU11" s="371" t="b">
        <v>0</v>
      </c>
      <c r="AV11" s="369" t="b">
        <v>0</v>
      </c>
      <c r="AW11" s="330" t="b">
        <v>0</v>
      </c>
      <c r="AX11" s="371" t="b">
        <v>0</v>
      </c>
      <c r="AY11" s="369" t="b">
        <v>0</v>
      </c>
      <c r="AZ11" s="330" t="b">
        <v>0</v>
      </c>
      <c r="BA11" s="371" t="b">
        <v>0</v>
      </c>
      <c r="BB11" s="369" t="b">
        <v>0</v>
      </c>
      <c r="BC11" s="330" t="b">
        <v>0</v>
      </c>
      <c r="BD11" s="371" t="b">
        <v>0</v>
      </c>
      <c r="BE11" s="369" t="b">
        <v>0</v>
      </c>
      <c r="BF11" s="330" t="b">
        <v>0</v>
      </c>
      <c r="BG11" s="372" t="b">
        <v>0</v>
      </c>
      <c r="BH11" s="368"/>
      <c r="BI11" s="1019"/>
      <c r="BJ11" s="398"/>
      <c r="BK11" s="807"/>
      <c r="BL11" s="410"/>
      <c r="BM11" s="38"/>
      <c r="BN11" s="38"/>
      <c r="BO11" s="39"/>
      <c r="BP11" s="40"/>
      <c r="BQ11" s="41"/>
      <c r="BR11" s="41"/>
      <c r="BS11" s="5"/>
      <c r="BT11" s="817"/>
      <c r="BU11" s="502"/>
    </row>
    <row r="12" spans="1:73" s="505" customFormat="1" ht="15.75">
      <c r="A12" s="773" t="b">
        <f t="shared" ref="A12:A37" si="16">IF(B12="",FALSE,TRUE)</f>
        <v>0</v>
      </c>
      <c r="B12" s="6"/>
      <c r="C12" s="6"/>
      <c r="D12" s="319"/>
      <c r="E12" s="331" t="b">
        <v>0</v>
      </c>
      <c r="F12" s="15"/>
      <c r="G12" s="421"/>
      <c r="H12" s="757"/>
      <c r="I12" s="784"/>
      <c r="J12" s="573">
        <f t="shared" si="14"/>
        <v>0</v>
      </c>
      <c r="K12" s="331" t="b">
        <v>0</v>
      </c>
      <c r="L12" s="331" t="b">
        <v>0</v>
      </c>
      <c r="M12" s="433" t="b">
        <v>0</v>
      </c>
      <c r="N12" s="434" t="b">
        <v>0</v>
      </c>
      <c r="O12" s="331" t="b">
        <v>0</v>
      </c>
      <c r="P12" s="433" t="b">
        <v>0</v>
      </c>
      <c r="Q12" s="434" t="b">
        <v>0</v>
      </c>
      <c r="R12" s="331" t="b">
        <v>0</v>
      </c>
      <c r="S12" s="433" t="b">
        <v>0</v>
      </c>
      <c r="T12" s="434" t="b">
        <v>0</v>
      </c>
      <c r="U12" s="434" t="b">
        <v>0</v>
      </c>
      <c r="V12" s="331" t="b">
        <v>0</v>
      </c>
      <c r="W12" s="331" t="b">
        <v>0</v>
      </c>
      <c r="X12" s="21"/>
      <c r="Y12" s="22"/>
      <c r="Z12" s="794"/>
      <c r="AA12" s="404"/>
      <c r="AB12" s="22"/>
      <c r="AC12" s="357" t="b">
        <v>0</v>
      </c>
      <c r="AD12" s="343" t="b">
        <v>0</v>
      </c>
      <c r="AE12" s="341" t="b">
        <v>0</v>
      </c>
      <c r="AF12" s="357" t="b">
        <v>0</v>
      </c>
      <c r="AG12" s="343" t="b">
        <v>0</v>
      </c>
      <c r="AH12" s="341" t="b">
        <v>0</v>
      </c>
      <c r="AI12" s="357" t="b">
        <v>0</v>
      </c>
      <c r="AJ12" s="343" t="b">
        <v>0</v>
      </c>
      <c r="AK12" s="341" t="b">
        <v>0</v>
      </c>
      <c r="AL12" s="357" t="b">
        <v>0</v>
      </c>
      <c r="AM12" s="343" t="b">
        <v>0</v>
      </c>
      <c r="AN12" s="363" t="b">
        <v>0</v>
      </c>
      <c r="AO12" s="342" t="b">
        <v>0</v>
      </c>
      <c r="AP12" s="343" t="b">
        <v>0</v>
      </c>
      <c r="AQ12" s="24"/>
      <c r="AR12" s="590">
        <f t="shared" ref="AR12:AR37" si="17">COUNTIF(AS12:BG12,TRUE)</f>
        <v>0</v>
      </c>
      <c r="AS12" s="373" t="b">
        <v>0</v>
      </c>
      <c r="AT12" s="331" t="b">
        <v>0</v>
      </c>
      <c r="AU12" s="374" t="b">
        <v>0</v>
      </c>
      <c r="AV12" s="373" t="b">
        <v>0</v>
      </c>
      <c r="AW12" s="331" t="b">
        <v>0</v>
      </c>
      <c r="AX12" s="374" t="b">
        <v>0</v>
      </c>
      <c r="AY12" s="373" t="b">
        <v>0</v>
      </c>
      <c r="AZ12" s="331" t="b">
        <v>0</v>
      </c>
      <c r="BA12" s="374" t="b">
        <v>0</v>
      </c>
      <c r="BB12" s="373" t="b">
        <v>0</v>
      </c>
      <c r="BC12" s="331" t="b">
        <v>0</v>
      </c>
      <c r="BD12" s="374" t="b">
        <v>0</v>
      </c>
      <c r="BE12" s="373" t="b">
        <v>0</v>
      </c>
      <c r="BF12" s="331" t="b">
        <v>0</v>
      </c>
      <c r="BG12" s="375" t="b">
        <v>0</v>
      </c>
      <c r="BH12" s="1024"/>
      <c r="BI12" s="1020"/>
      <c r="BJ12" s="398"/>
      <c r="BK12" s="807"/>
      <c r="BL12" s="411"/>
      <c r="BM12" s="42"/>
      <c r="BN12" s="42"/>
      <c r="BO12" s="43"/>
      <c r="BP12" s="44"/>
      <c r="BQ12" s="45"/>
      <c r="BR12" s="45"/>
      <c r="BS12" s="7"/>
      <c r="BT12" s="817"/>
      <c r="BU12" s="504"/>
    </row>
    <row r="13" spans="1:73" s="507" customFormat="1" ht="15.75">
      <c r="A13" s="774" t="b">
        <f t="shared" si="16"/>
        <v>0</v>
      </c>
      <c r="B13" s="8"/>
      <c r="C13" s="8"/>
      <c r="D13" s="320"/>
      <c r="E13" s="332" t="b">
        <v>0</v>
      </c>
      <c r="F13" s="17"/>
      <c r="G13" s="422"/>
      <c r="H13" s="758"/>
      <c r="I13" s="785"/>
      <c r="J13" s="573">
        <f>COUNTIF(K13:W13,TRUE)</f>
        <v>0</v>
      </c>
      <c r="K13" s="332" t="b">
        <v>0</v>
      </c>
      <c r="L13" s="332" t="b">
        <v>0</v>
      </c>
      <c r="M13" s="435" t="b">
        <v>0</v>
      </c>
      <c r="N13" s="436" t="b">
        <v>0</v>
      </c>
      <c r="O13" s="332" t="b">
        <v>0</v>
      </c>
      <c r="P13" s="435" t="b">
        <v>0</v>
      </c>
      <c r="Q13" s="436" t="b">
        <v>0</v>
      </c>
      <c r="R13" s="332" t="b">
        <v>0</v>
      </c>
      <c r="S13" s="435" t="b">
        <v>0</v>
      </c>
      <c r="T13" s="436" t="b">
        <v>0</v>
      </c>
      <c r="U13" s="436" t="b">
        <v>0</v>
      </c>
      <c r="V13" s="332" t="b">
        <v>0</v>
      </c>
      <c r="W13" s="332" t="b">
        <v>0</v>
      </c>
      <c r="X13" s="25"/>
      <c r="Y13" s="26"/>
      <c r="Z13" s="795"/>
      <c r="AA13" s="405"/>
      <c r="AB13" s="26"/>
      <c r="AC13" s="358" t="b">
        <v>0</v>
      </c>
      <c r="AD13" s="346" t="b">
        <v>0</v>
      </c>
      <c r="AE13" s="344" t="b">
        <v>0</v>
      </c>
      <c r="AF13" s="358" t="b">
        <v>0</v>
      </c>
      <c r="AG13" s="346" t="b">
        <v>0</v>
      </c>
      <c r="AH13" s="344" t="b">
        <v>0</v>
      </c>
      <c r="AI13" s="358" t="b">
        <v>0</v>
      </c>
      <c r="AJ13" s="346" t="b">
        <v>0</v>
      </c>
      <c r="AK13" s="344" t="b">
        <v>0</v>
      </c>
      <c r="AL13" s="358" t="b">
        <v>0</v>
      </c>
      <c r="AM13" s="346" t="b">
        <v>0</v>
      </c>
      <c r="AN13" s="364" t="b">
        <v>0</v>
      </c>
      <c r="AO13" s="345" t="b">
        <v>0</v>
      </c>
      <c r="AP13" s="346" t="b">
        <v>0</v>
      </c>
      <c r="AQ13" s="28"/>
      <c r="AR13" s="591">
        <f t="shared" si="17"/>
        <v>0</v>
      </c>
      <c r="AS13" s="376" t="b">
        <v>0</v>
      </c>
      <c r="AT13" s="332" t="b">
        <v>0</v>
      </c>
      <c r="AU13" s="377" t="b">
        <v>0</v>
      </c>
      <c r="AV13" s="376" t="b">
        <v>0</v>
      </c>
      <c r="AW13" s="332" t="b">
        <v>0</v>
      </c>
      <c r="AX13" s="377" t="b">
        <v>0</v>
      </c>
      <c r="AY13" s="376" t="b">
        <v>0</v>
      </c>
      <c r="AZ13" s="332" t="b">
        <v>0</v>
      </c>
      <c r="BA13" s="377" t="b">
        <v>0</v>
      </c>
      <c r="BB13" s="376" t="b">
        <v>0</v>
      </c>
      <c r="BC13" s="332" t="b">
        <v>0</v>
      </c>
      <c r="BD13" s="377" t="b">
        <v>0</v>
      </c>
      <c r="BE13" s="376" t="b">
        <v>0</v>
      </c>
      <c r="BF13" s="332" t="b">
        <v>0</v>
      </c>
      <c r="BG13" s="378" t="b">
        <v>0</v>
      </c>
      <c r="BH13" s="1025"/>
      <c r="BI13" s="1021"/>
      <c r="BJ13" s="399"/>
      <c r="BK13" s="808"/>
      <c r="BL13" s="412"/>
      <c r="BM13" s="46"/>
      <c r="BN13" s="46"/>
      <c r="BO13" s="47"/>
      <c r="BP13" s="48"/>
      <c r="BQ13" s="49"/>
      <c r="BR13" s="49"/>
      <c r="BS13" s="9"/>
      <c r="BT13" s="818"/>
      <c r="BU13" s="506"/>
    </row>
    <row r="14" spans="1:73" s="510" customFormat="1" ht="15.75">
      <c r="A14" s="772" t="b">
        <f t="shared" si="16"/>
        <v>0</v>
      </c>
      <c r="B14" s="2"/>
      <c r="C14" s="2"/>
      <c r="D14" s="317"/>
      <c r="E14" s="329" t="b">
        <v>0</v>
      </c>
      <c r="F14" s="16"/>
      <c r="G14" s="423"/>
      <c r="H14" s="759"/>
      <c r="I14" s="786"/>
      <c r="J14" s="573">
        <f t="shared" ref="J14:J37" si="18">COUNTIF(K14:W14,TRUE)</f>
        <v>0</v>
      </c>
      <c r="K14" s="329" t="b">
        <v>0</v>
      </c>
      <c r="L14" s="329" t="b">
        <v>0</v>
      </c>
      <c r="M14" s="437" t="b">
        <v>0</v>
      </c>
      <c r="N14" s="438" t="b">
        <v>0</v>
      </c>
      <c r="O14" s="329" t="b">
        <v>0</v>
      </c>
      <c r="P14" s="437" t="b">
        <v>0</v>
      </c>
      <c r="Q14" s="438" t="b">
        <v>0</v>
      </c>
      <c r="R14" s="329" t="b">
        <v>0</v>
      </c>
      <c r="S14" s="437" t="b">
        <v>0</v>
      </c>
      <c r="T14" s="438" t="b">
        <v>0</v>
      </c>
      <c r="U14" s="438" t="b">
        <v>0</v>
      </c>
      <c r="V14" s="329" t="b">
        <v>0</v>
      </c>
      <c r="W14" s="329" t="b">
        <v>0</v>
      </c>
      <c r="X14" s="29"/>
      <c r="Y14" s="30"/>
      <c r="Z14" s="796"/>
      <c r="AA14" s="406"/>
      <c r="AB14" s="30"/>
      <c r="AC14" s="359" t="b">
        <v>0</v>
      </c>
      <c r="AD14" s="349" t="b">
        <v>0</v>
      </c>
      <c r="AE14" s="347" t="b">
        <v>0</v>
      </c>
      <c r="AF14" s="359" t="b">
        <v>0</v>
      </c>
      <c r="AG14" s="349" t="b">
        <v>0</v>
      </c>
      <c r="AH14" s="347" t="b">
        <v>0</v>
      </c>
      <c r="AI14" s="359" t="b">
        <v>0</v>
      </c>
      <c r="AJ14" s="349" t="b">
        <v>0</v>
      </c>
      <c r="AK14" s="347" t="b">
        <v>0</v>
      </c>
      <c r="AL14" s="359" t="b">
        <v>0</v>
      </c>
      <c r="AM14" s="349" t="b">
        <v>0</v>
      </c>
      <c r="AN14" s="365" t="b">
        <v>0</v>
      </c>
      <c r="AO14" s="348" t="b">
        <v>0</v>
      </c>
      <c r="AP14" s="349" t="b">
        <v>0</v>
      </c>
      <c r="AQ14" s="31"/>
      <c r="AR14" s="592">
        <f t="shared" si="17"/>
        <v>0</v>
      </c>
      <c r="AS14" s="379" t="b">
        <v>0</v>
      </c>
      <c r="AT14" s="329" t="b">
        <v>0</v>
      </c>
      <c r="AU14" s="380" t="b">
        <v>0</v>
      </c>
      <c r="AV14" s="379" t="b">
        <v>0</v>
      </c>
      <c r="AW14" s="329" t="b">
        <v>0</v>
      </c>
      <c r="AX14" s="380" t="b">
        <v>0</v>
      </c>
      <c r="AY14" s="379" t="b">
        <v>0</v>
      </c>
      <c r="AZ14" s="329" t="b">
        <v>0</v>
      </c>
      <c r="BA14" s="380" t="b">
        <v>0</v>
      </c>
      <c r="BB14" s="379" t="b">
        <v>0</v>
      </c>
      <c r="BC14" s="329" t="b">
        <v>0</v>
      </c>
      <c r="BD14" s="380" t="b">
        <v>0</v>
      </c>
      <c r="BE14" s="379" t="b">
        <v>0</v>
      </c>
      <c r="BF14" s="329" t="b">
        <v>0</v>
      </c>
      <c r="BG14" s="381" t="b">
        <v>0</v>
      </c>
      <c r="BH14" s="1026"/>
      <c r="BI14" s="1018"/>
      <c r="BJ14" s="400"/>
      <c r="BK14" s="809"/>
      <c r="BL14" s="413"/>
      <c r="BM14" s="50"/>
      <c r="BN14" s="50"/>
      <c r="BO14" s="51"/>
      <c r="BP14" s="52"/>
      <c r="BQ14" s="53"/>
      <c r="BR14" s="53"/>
      <c r="BS14" s="10"/>
      <c r="BT14" s="819"/>
      <c r="BU14" s="509"/>
    </row>
    <row r="15" spans="1:73" s="512" customFormat="1" ht="15.75">
      <c r="A15" s="773" t="b">
        <f t="shared" si="16"/>
        <v>0</v>
      </c>
      <c r="B15" s="927"/>
      <c r="C15" s="11"/>
      <c r="D15" s="321"/>
      <c r="E15" s="333" t="b">
        <v>0</v>
      </c>
      <c r="F15" s="12"/>
      <c r="G15" s="1017"/>
      <c r="H15" s="757"/>
      <c r="I15" s="784"/>
      <c r="J15" s="573">
        <f t="shared" si="18"/>
        <v>0</v>
      </c>
      <c r="K15" s="333" t="b">
        <v>0</v>
      </c>
      <c r="L15" s="333" t="b">
        <v>0</v>
      </c>
      <c r="M15" s="439" t="b">
        <v>0</v>
      </c>
      <c r="N15" s="440" t="b">
        <v>0</v>
      </c>
      <c r="O15" s="333" t="b">
        <v>0</v>
      </c>
      <c r="P15" s="439" t="b">
        <v>0</v>
      </c>
      <c r="Q15" s="440" t="b">
        <v>0</v>
      </c>
      <c r="R15" s="333" t="b">
        <v>0</v>
      </c>
      <c r="S15" s="439" t="b">
        <v>0</v>
      </c>
      <c r="T15" s="440" t="b">
        <v>0</v>
      </c>
      <c r="U15" s="440" t="b">
        <v>0</v>
      </c>
      <c r="V15" s="333" t="b">
        <v>0</v>
      </c>
      <c r="W15" s="333" t="b">
        <v>0</v>
      </c>
      <c r="X15" s="1015"/>
      <c r="Y15" s="1016"/>
      <c r="Z15" s="794"/>
      <c r="AA15" s="407"/>
      <c r="AB15" s="37"/>
      <c r="AC15" s="360" t="b">
        <v>0</v>
      </c>
      <c r="AD15" s="352" t="b">
        <v>0</v>
      </c>
      <c r="AE15" s="350" t="b">
        <v>0</v>
      </c>
      <c r="AF15" s="360" t="b">
        <v>0</v>
      </c>
      <c r="AG15" s="352" t="b">
        <v>0</v>
      </c>
      <c r="AH15" s="350" t="b">
        <v>0</v>
      </c>
      <c r="AI15" s="360" t="b">
        <v>0</v>
      </c>
      <c r="AJ15" s="352" t="b">
        <v>0</v>
      </c>
      <c r="AK15" s="350" t="b">
        <v>0</v>
      </c>
      <c r="AL15" s="360" t="b">
        <v>0</v>
      </c>
      <c r="AM15" s="352" t="b">
        <v>0</v>
      </c>
      <c r="AN15" s="366" t="b">
        <v>0</v>
      </c>
      <c r="AO15" s="351" t="b">
        <v>0</v>
      </c>
      <c r="AP15" s="352" t="b">
        <v>0</v>
      </c>
      <c r="AQ15" s="32"/>
      <c r="AR15" s="590">
        <f t="shared" si="17"/>
        <v>0</v>
      </c>
      <c r="AS15" s="382" t="b">
        <v>0</v>
      </c>
      <c r="AT15" s="333" t="b">
        <v>0</v>
      </c>
      <c r="AU15" s="383" t="b">
        <v>0</v>
      </c>
      <c r="AV15" s="382" t="b">
        <v>0</v>
      </c>
      <c r="AW15" s="333" t="b">
        <v>0</v>
      </c>
      <c r="AX15" s="383" t="b">
        <v>0</v>
      </c>
      <c r="AY15" s="382" t="b">
        <v>0</v>
      </c>
      <c r="AZ15" s="333" t="b">
        <v>0</v>
      </c>
      <c r="BA15" s="383" t="b">
        <v>0</v>
      </c>
      <c r="BB15" s="382" t="b">
        <v>0</v>
      </c>
      <c r="BC15" s="333" t="b">
        <v>0</v>
      </c>
      <c r="BD15" s="383" t="b">
        <v>0</v>
      </c>
      <c r="BE15" s="382" t="b">
        <v>0</v>
      </c>
      <c r="BF15" s="333" t="b">
        <v>0</v>
      </c>
      <c r="BG15" s="384" t="b">
        <v>0</v>
      </c>
      <c r="BH15" s="1027"/>
      <c r="BI15" s="1022"/>
      <c r="BJ15" s="401"/>
      <c r="BK15" s="807"/>
      <c r="BL15" s="414"/>
      <c r="BM15" s="54"/>
      <c r="BN15" s="54"/>
      <c r="BO15" s="55"/>
      <c r="BP15" s="56"/>
      <c r="BQ15" s="57"/>
      <c r="BR15" s="57"/>
      <c r="BS15" s="14"/>
      <c r="BT15" s="817"/>
      <c r="BU15" s="511"/>
    </row>
    <row r="16" spans="1:73" s="505" customFormat="1" ht="15.75">
      <c r="A16" s="772" t="b">
        <f t="shared" si="16"/>
        <v>0</v>
      </c>
      <c r="B16" s="6"/>
      <c r="C16" s="6"/>
      <c r="D16" s="319"/>
      <c r="E16" s="331" t="b">
        <v>0</v>
      </c>
      <c r="F16" s="15"/>
      <c r="G16" s="421"/>
      <c r="H16" s="757"/>
      <c r="I16" s="784"/>
      <c r="J16" s="573">
        <f t="shared" si="18"/>
        <v>0</v>
      </c>
      <c r="K16" s="331" t="b">
        <v>0</v>
      </c>
      <c r="L16" s="331" t="b">
        <v>0</v>
      </c>
      <c r="M16" s="433" t="b">
        <v>0</v>
      </c>
      <c r="N16" s="434" t="b">
        <v>0</v>
      </c>
      <c r="O16" s="331" t="b">
        <v>0</v>
      </c>
      <c r="P16" s="433" t="b">
        <v>0</v>
      </c>
      <c r="Q16" s="434" t="b">
        <v>0</v>
      </c>
      <c r="R16" s="331" t="b">
        <v>0</v>
      </c>
      <c r="S16" s="433" t="b">
        <v>0</v>
      </c>
      <c r="T16" s="434" t="b">
        <v>0</v>
      </c>
      <c r="U16" s="434" t="b">
        <v>0</v>
      </c>
      <c r="V16" s="331" t="b">
        <v>0</v>
      </c>
      <c r="W16" s="331" t="b">
        <v>0</v>
      </c>
      <c r="X16" s="21"/>
      <c r="Y16" s="22"/>
      <c r="Z16" s="794"/>
      <c r="AA16" s="404"/>
      <c r="AB16" s="22"/>
      <c r="AC16" s="357" t="b">
        <v>0</v>
      </c>
      <c r="AD16" s="343" t="b">
        <v>0</v>
      </c>
      <c r="AE16" s="341" t="b">
        <v>0</v>
      </c>
      <c r="AF16" s="357" t="b">
        <v>0</v>
      </c>
      <c r="AG16" s="343" t="b">
        <v>0</v>
      </c>
      <c r="AH16" s="341" t="b">
        <v>0</v>
      </c>
      <c r="AI16" s="357" t="b">
        <v>0</v>
      </c>
      <c r="AJ16" s="343" t="b">
        <v>0</v>
      </c>
      <c r="AK16" s="341" t="b">
        <v>0</v>
      </c>
      <c r="AL16" s="357" t="b">
        <v>0</v>
      </c>
      <c r="AM16" s="343" t="b">
        <v>0</v>
      </c>
      <c r="AN16" s="363" t="b">
        <v>0</v>
      </c>
      <c r="AO16" s="342" t="b">
        <v>0</v>
      </c>
      <c r="AP16" s="343" t="b">
        <v>0</v>
      </c>
      <c r="AQ16" s="23"/>
      <c r="AR16" s="590">
        <f t="shared" si="17"/>
        <v>0</v>
      </c>
      <c r="AS16" s="373" t="b">
        <v>0</v>
      </c>
      <c r="AT16" s="331" t="b">
        <v>0</v>
      </c>
      <c r="AU16" s="374" t="b">
        <v>0</v>
      </c>
      <c r="AV16" s="373" t="b">
        <v>0</v>
      </c>
      <c r="AW16" s="331" t="b">
        <v>0</v>
      </c>
      <c r="AX16" s="374" t="b">
        <v>0</v>
      </c>
      <c r="AY16" s="373" t="b">
        <v>0</v>
      </c>
      <c r="AZ16" s="331" t="b">
        <v>0</v>
      </c>
      <c r="BA16" s="374" t="b">
        <v>0</v>
      </c>
      <c r="BB16" s="373" t="b">
        <v>0</v>
      </c>
      <c r="BC16" s="331" t="b">
        <v>0</v>
      </c>
      <c r="BD16" s="374" t="b">
        <v>0</v>
      </c>
      <c r="BE16" s="373" t="b">
        <v>0</v>
      </c>
      <c r="BF16" s="331" t="b">
        <v>0</v>
      </c>
      <c r="BG16" s="375" t="b">
        <v>0</v>
      </c>
      <c r="BH16" s="1024"/>
      <c r="BI16" s="1020"/>
      <c r="BJ16" s="398"/>
      <c r="BK16" s="807"/>
      <c r="BL16" s="411"/>
      <c r="BM16" s="42"/>
      <c r="BN16" s="42"/>
      <c r="BO16" s="43"/>
      <c r="BP16" s="44"/>
      <c r="BQ16" s="45"/>
      <c r="BR16" s="45"/>
      <c r="BS16" s="7"/>
      <c r="BT16" s="817"/>
      <c r="BU16" s="504"/>
    </row>
    <row r="17" spans="1:73" s="514" customFormat="1" ht="15.75">
      <c r="A17" s="774" t="b">
        <f t="shared" si="16"/>
        <v>0</v>
      </c>
      <c r="B17" s="13"/>
      <c r="C17" s="13"/>
      <c r="D17" s="322"/>
      <c r="E17" s="334" t="b">
        <v>0</v>
      </c>
      <c r="F17" s="424"/>
      <c r="G17" s="425"/>
      <c r="H17" s="758"/>
      <c r="I17" s="785"/>
      <c r="J17" s="573">
        <f t="shared" si="18"/>
        <v>0</v>
      </c>
      <c r="K17" s="386" t="b">
        <v>0</v>
      </c>
      <c r="L17" s="386" t="b">
        <v>0</v>
      </c>
      <c r="M17" s="441" t="b">
        <v>0</v>
      </c>
      <c r="N17" s="442" t="b">
        <v>0</v>
      </c>
      <c r="O17" s="386" t="b">
        <v>0</v>
      </c>
      <c r="P17" s="441" t="b">
        <v>0</v>
      </c>
      <c r="Q17" s="442" t="b">
        <v>0</v>
      </c>
      <c r="R17" s="386" t="b">
        <v>0</v>
      </c>
      <c r="S17" s="441" t="b">
        <v>0</v>
      </c>
      <c r="T17" s="442" t="b">
        <v>0</v>
      </c>
      <c r="U17" s="442" t="b">
        <v>0</v>
      </c>
      <c r="V17" s="386" t="b">
        <v>0</v>
      </c>
      <c r="W17" s="386" t="b">
        <v>0</v>
      </c>
      <c r="X17" s="33"/>
      <c r="Y17" s="34"/>
      <c r="Z17" s="795"/>
      <c r="AA17" s="408"/>
      <c r="AB17" s="403"/>
      <c r="AC17" s="361" t="b">
        <v>0</v>
      </c>
      <c r="AD17" s="355" t="b">
        <v>0</v>
      </c>
      <c r="AE17" s="353" t="b">
        <v>0</v>
      </c>
      <c r="AF17" s="361" t="b">
        <v>0</v>
      </c>
      <c r="AG17" s="355" t="b">
        <v>0</v>
      </c>
      <c r="AH17" s="353" t="b">
        <v>0</v>
      </c>
      <c r="AI17" s="361" t="b">
        <v>0</v>
      </c>
      <c r="AJ17" s="355" t="b">
        <v>0</v>
      </c>
      <c r="AK17" s="353" t="b">
        <v>0</v>
      </c>
      <c r="AL17" s="361" t="b">
        <v>0</v>
      </c>
      <c r="AM17" s="355" t="b">
        <v>0</v>
      </c>
      <c r="AN17" s="367" t="b">
        <v>0</v>
      </c>
      <c r="AO17" s="354" t="b">
        <v>0</v>
      </c>
      <c r="AP17" s="355" t="b">
        <v>0</v>
      </c>
      <c r="AQ17" s="35"/>
      <c r="AR17" s="591">
        <f t="shared" si="17"/>
        <v>0</v>
      </c>
      <c r="AS17" s="385" t="b">
        <v>0</v>
      </c>
      <c r="AT17" s="386" t="b">
        <v>0</v>
      </c>
      <c r="AU17" s="387" t="b">
        <v>0</v>
      </c>
      <c r="AV17" s="385" t="b">
        <v>0</v>
      </c>
      <c r="AW17" s="386" t="b">
        <v>0</v>
      </c>
      <c r="AX17" s="387" t="b">
        <v>0</v>
      </c>
      <c r="AY17" s="385" t="b">
        <v>0</v>
      </c>
      <c r="AZ17" s="386" t="b">
        <v>0</v>
      </c>
      <c r="BA17" s="387" t="b">
        <v>0</v>
      </c>
      <c r="BB17" s="385" t="b">
        <v>0</v>
      </c>
      <c r="BC17" s="386" t="b">
        <v>0</v>
      </c>
      <c r="BD17" s="387" t="b">
        <v>0</v>
      </c>
      <c r="BE17" s="385" t="b">
        <v>0</v>
      </c>
      <c r="BF17" s="386" t="b">
        <v>0</v>
      </c>
      <c r="BG17" s="388" t="b">
        <v>0</v>
      </c>
      <c r="BH17" s="1028"/>
      <c r="BI17" s="1023"/>
      <c r="BJ17" s="402"/>
      <c r="BK17" s="808"/>
      <c r="BL17" s="415"/>
      <c r="BM17" s="58"/>
      <c r="BN17" s="58"/>
      <c r="BO17" s="59"/>
      <c r="BP17" s="60"/>
      <c r="BQ17" s="61"/>
      <c r="BR17" s="61"/>
      <c r="BS17" s="416"/>
      <c r="BT17" s="818"/>
      <c r="BU17" s="513"/>
    </row>
    <row r="18" spans="1:73" s="510" customFormat="1" ht="15.75">
      <c r="A18" s="772" t="b">
        <f t="shared" si="16"/>
        <v>0</v>
      </c>
      <c r="B18" s="2"/>
      <c r="C18" s="2"/>
      <c r="D18" s="317"/>
      <c r="E18" s="329" t="b">
        <v>0</v>
      </c>
      <c r="F18" s="16"/>
      <c r="G18" s="423"/>
      <c r="H18" s="759"/>
      <c r="I18" s="786"/>
      <c r="J18" s="573">
        <f t="shared" si="18"/>
        <v>0</v>
      </c>
      <c r="K18" s="329" t="b">
        <v>0</v>
      </c>
      <c r="L18" s="329" t="b">
        <v>0</v>
      </c>
      <c r="M18" s="437" t="b">
        <v>0</v>
      </c>
      <c r="N18" s="438" t="b">
        <v>0</v>
      </c>
      <c r="O18" s="329" t="b">
        <v>0</v>
      </c>
      <c r="P18" s="437" t="b">
        <v>0</v>
      </c>
      <c r="Q18" s="438" t="b">
        <v>0</v>
      </c>
      <c r="R18" s="329" t="b">
        <v>0</v>
      </c>
      <c r="S18" s="437" t="b">
        <v>0</v>
      </c>
      <c r="T18" s="438" t="b">
        <v>0</v>
      </c>
      <c r="U18" s="438" t="b">
        <v>0</v>
      </c>
      <c r="V18" s="329" t="b">
        <v>0</v>
      </c>
      <c r="W18" s="329" t="b">
        <v>0</v>
      </c>
      <c r="X18" s="29"/>
      <c r="Y18" s="30"/>
      <c r="Z18" s="796"/>
      <c r="AA18" s="406"/>
      <c r="AB18" s="30"/>
      <c r="AC18" s="359" t="b">
        <v>0</v>
      </c>
      <c r="AD18" s="349" t="b">
        <v>0</v>
      </c>
      <c r="AE18" s="347" t="b">
        <v>0</v>
      </c>
      <c r="AF18" s="359" t="b">
        <v>0</v>
      </c>
      <c r="AG18" s="349" t="b">
        <v>0</v>
      </c>
      <c r="AH18" s="347" t="b">
        <v>0</v>
      </c>
      <c r="AI18" s="359" t="b">
        <v>0</v>
      </c>
      <c r="AJ18" s="349" t="b">
        <v>0</v>
      </c>
      <c r="AK18" s="347" t="b">
        <v>0</v>
      </c>
      <c r="AL18" s="359" t="b">
        <v>0</v>
      </c>
      <c r="AM18" s="349" t="b">
        <v>0</v>
      </c>
      <c r="AN18" s="365" t="b">
        <v>0</v>
      </c>
      <c r="AO18" s="348" t="b">
        <v>0</v>
      </c>
      <c r="AP18" s="349" t="b">
        <v>0</v>
      </c>
      <c r="AQ18" s="31"/>
      <c r="AR18" s="592">
        <f t="shared" si="17"/>
        <v>0</v>
      </c>
      <c r="AS18" s="379" t="b">
        <v>0</v>
      </c>
      <c r="AT18" s="329" t="b">
        <v>0</v>
      </c>
      <c r="AU18" s="380" t="b">
        <v>0</v>
      </c>
      <c r="AV18" s="379" t="b">
        <v>0</v>
      </c>
      <c r="AW18" s="329" t="b">
        <v>0</v>
      </c>
      <c r="AX18" s="380" t="b">
        <v>0</v>
      </c>
      <c r="AY18" s="379" t="b">
        <v>0</v>
      </c>
      <c r="AZ18" s="329" t="b">
        <v>0</v>
      </c>
      <c r="BA18" s="380" t="b">
        <v>0</v>
      </c>
      <c r="BB18" s="379" t="b">
        <v>0</v>
      </c>
      <c r="BC18" s="329" t="b">
        <v>0</v>
      </c>
      <c r="BD18" s="380" t="b">
        <v>0</v>
      </c>
      <c r="BE18" s="379" t="b">
        <v>0</v>
      </c>
      <c r="BF18" s="329" t="b">
        <v>0</v>
      </c>
      <c r="BG18" s="381" t="b">
        <v>0</v>
      </c>
      <c r="BH18" s="1026"/>
      <c r="BI18" s="1018"/>
      <c r="BJ18" s="400"/>
      <c r="BK18" s="809"/>
      <c r="BL18" s="413"/>
      <c r="BM18" s="50"/>
      <c r="BN18" s="50"/>
      <c r="BO18" s="51"/>
      <c r="BP18" s="52"/>
      <c r="BQ18" s="53"/>
      <c r="BR18" s="53"/>
      <c r="BS18" s="10"/>
      <c r="BT18" s="819"/>
      <c r="BU18" s="509"/>
    </row>
    <row r="19" spans="1:73" s="512" customFormat="1" ht="15.75">
      <c r="A19" s="773" t="b">
        <f t="shared" si="16"/>
        <v>0</v>
      </c>
      <c r="B19" s="11"/>
      <c r="C19" s="11"/>
      <c r="D19" s="321"/>
      <c r="E19" s="335" t="b">
        <v>0</v>
      </c>
      <c r="F19" s="426"/>
      <c r="G19" s="427"/>
      <c r="H19" s="757"/>
      <c r="I19" s="784"/>
      <c r="J19" s="573">
        <f t="shared" si="18"/>
        <v>0</v>
      </c>
      <c r="K19" s="333" t="b">
        <v>0</v>
      </c>
      <c r="L19" s="333" t="b">
        <v>0</v>
      </c>
      <c r="M19" s="439" t="b">
        <v>0</v>
      </c>
      <c r="N19" s="440" t="b">
        <v>0</v>
      </c>
      <c r="O19" s="333" t="b">
        <v>0</v>
      </c>
      <c r="P19" s="439" t="b">
        <v>0</v>
      </c>
      <c r="Q19" s="440" t="b">
        <v>0</v>
      </c>
      <c r="R19" s="333" t="b">
        <v>0</v>
      </c>
      <c r="S19" s="439" t="b">
        <v>0</v>
      </c>
      <c r="T19" s="440" t="b">
        <v>0</v>
      </c>
      <c r="U19" s="440" t="b">
        <v>0</v>
      </c>
      <c r="V19" s="333" t="b">
        <v>0</v>
      </c>
      <c r="W19" s="333" t="b">
        <v>0</v>
      </c>
      <c r="X19" s="36"/>
      <c r="Y19" s="37"/>
      <c r="Z19" s="794"/>
      <c r="AA19" s="407"/>
      <c r="AB19" s="37"/>
      <c r="AC19" s="360" t="b">
        <v>0</v>
      </c>
      <c r="AD19" s="352" t="b">
        <v>0</v>
      </c>
      <c r="AE19" s="350" t="b">
        <v>0</v>
      </c>
      <c r="AF19" s="360" t="b">
        <v>0</v>
      </c>
      <c r="AG19" s="352" t="b">
        <v>0</v>
      </c>
      <c r="AH19" s="350" t="b">
        <v>0</v>
      </c>
      <c r="AI19" s="360" t="b">
        <v>0</v>
      </c>
      <c r="AJ19" s="352" t="b">
        <v>0</v>
      </c>
      <c r="AK19" s="350" t="b">
        <v>0</v>
      </c>
      <c r="AL19" s="360" t="b">
        <v>0</v>
      </c>
      <c r="AM19" s="352" t="b">
        <v>0</v>
      </c>
      <c r="AN19" s="366" t="b">
        <v>0</v>
      </c>
      <c r="AO19" s="351" t="b">
        <v>0</v>
      </c>
      <c r="AP19" s="352" t="b">
        <v>0</v>
      </c>
      <c r="AQ19" s="32"/>
      <c r="AR19" s="590">
        <f t="shared" si="17"/>
        <v>0</v>
      </c>
      <c r="AS19" s="382" t="b">
        <v>0</v>
      </c>
      <c r="AT19" s="333" t="b">
        <v>0</v>
      </c>
      <c r="AU19" s="383" t="b">
        <v>0</v>
      </c>
      <c r="AV19" s="382" t="b">
        <v>0</v>
      </c>
      <c r="AW19" s="333" t="b">
        <v>0</v>
      </c>
      <c r="AX19" s="383" t="b">
        <v>0</v>
      </c>
      <c r="AY19" s="382" t="b">
        <v>0</v>
      </c>
      <c r="AZ19" s="333" t="b">
        <v>0</v>
      </c>
      <c r="BA19" s="383" t="b">
        <v>0</v>
      </c>
      <c r="BB19" s="382" t="b">
        <v>0</v>
      </c>
      <c r="BC19" s="333" t="b">
        <v>0</v>
      </c>
      <c r="BD19" s="383" t="b">
        <v>0</v>
      </c>
      <c r="BE19" s="382" t="b">
        <v>0</v>
      </c>
      <c r="BF19" s="333" t="b">
        <v>0</v>
      </c>
      <c r="BG19" s="384" t="b">
        <v>0</v>
      </c>
      <c r="BH19" s="1027"/>
      <c r="BI19" s="1022"/>
      <c r="BJ19" s="401"/>
      <c r="BK19" s="807"/>
      <c r="BL19" s="414"/>
      <c r="BM19" s="54"/>
      <c r="BN19" s="54"/>
      <c r="BO19" s="55"/>
      <c r="BP19" s="56"/>
      <c r="BQ19" s="57"/>
      <c r="BR19" s="57"/>
      <c r="BS19" s="14"/>
      <c r="BT19" s="817"/>
      <c r="BU19" s="511"/>
    </row>
    <row r="20" spans="1:73" s="505" customFormat="1" ht="15.75">
      <c r="A20" s="773" t="b">
        <f t="shared" si="16"/>
        <v>0</v>
      </c>
      <c r="B20" s="6"/>
      <c r="C20" s="6"/>
      <c r="D20" s="319"/>
      <c r="E20" s="331" t="b">
        <v>0</v>
      </c>
      <c r="F20" s="15"/>
      <c r="G20" s="421"/>
      <c r="H20" s="757"/>
      <c r="I20" s="784"/>
      <c r="J20" s="573">
        <f t="shared" si="18"/>
        <v>0</v>
      </c>
      <c r="K20" s="331" t="b">
        <v>0</v>
      </c>
      <c r="L20" s="331" t="b">
        <v>0</v>
      </c>
      <c r="M20" s="433" t="b">
        <v>0</v>
      </c>
      <c r="N20" s="434" t="b">
        <v>0</v>
      </c>
      <c r="O20" s="331" t="b">
        <v>0</v>
      </c>
      <c r="P20" s="433" t="b">
        <v>0</v>
      </c>
      <c r="Q20" s="434" t="b">
        <v>0</v>
      </c>
      <c r="R20" s="331" t="b">
        <v>0</v>
      </c>
      <c r="S20" s="433" t="b">
        <v>0</v>
      </c>
      <c r="T20" s="434" t="b">
        <v>0</v>
      </c>
      <c r="U20" s="434" t="b">
        <v>0</v>
      </c>
      <c r="V20" s="331" t="b">
        <v>0</v>
      </c>
      <c r="W20" s="331" t="b">
        <v>0</v>
      </c>
      <c r="X20" s="21"/>
      <c r="Y20" s="22"/>
      <c r="Z20" s="794"/>
      <c r="AA20" s="404"/>
      <c r="AB20" s="22"/>
      <c r="AC20" s="357" t="b">
        <v>0</v>
      </c>
      <c r="AD20" s="343" t="b">
        <v>0</v>
      </c>
      <c r="AE20" s="341" t="b">
        <v>0</v>
      </c>
      <c r="AF20" s="357" t="b">
        <v>0</v>
      </c>
      <c r="AG20" s="343" t="b">
        <v>0</v>
      </c>
      <c r="AH20" s="341" t="b">
        <v>0</v>
      </c>
      <c r="AI20" s="357" t="b">
        <v>0</v>
      </c>
      <c r="AJ20" s="343" t="b">
        <v>0</v>
      </c>
      <c r="AK20" s="341" t="b">
        <v>0</v>
      </c>
      <c r="AL20" s="357" t="b">
        <v>0</v>
      </c>
      <c r="AM20" s="343" t="b">
        <v>0</v>
      </c>
      <c r="AN20" s="363" t="b">
        <v>0</v>
      </c>
      <c r="AO20" s="342" t="b">
        <v>0</v>
      </c>
      <c r="AP20" s="343" t="b">
        <v>0</v>
      </c>
      <c r="AQ20" s="23"/>
      <c r="AR20" s="590">
        <f t="shared" si="17"/>
        <v>0</v>
      </c>
      <c r="AS20" s="373" t="b">
        <v>0</v>
      </c>
      <c r="AT20" s="331" t="b">
        <v>0</v>
      </c>
      <c r="AU20" s="374" t="b">
        <v>0</v>
      </c>
      <c r="AV20" s="373" t="b">
        <v>0</v>
      </c>
      <c r="AW20" s="331" t="b">
        <v>0</v>
      </c>
      <c r="AX20" s="374" t="b">
        <v>0</v>
      </c>
      <c r="AY20" s="373" t="b">
        <v>0</v>
      </c>
      <c r="AZ20" s="331" t="b">
        <v>0</v>
      </c>
      <c r="BA20" s="374" t="b">
        <v>0</v>
      </c>
      <c r="BB20" s="373" t="b">
        <v>0</v>
      </c>
      <c r="BC20" s="331" t="b">
        <v>0</v>
      </c>
      <c r="BD20" s="374" t="b">
        <v>0</v>
      </c>
      <c r="BE20" s="373" t="b">
        <v>0</v>
      </c>
      <c r="BF20" s="331" t="b">
        <v>0</v>
      </c>
      <c r="BG20" s="375" t="b">
        <v>0</v>
      </c>
      <c r="BH20" s="1024"/>
      <c r="BI20" s="1020"/>
      <c r="BJ20" s="398"/>
      <c r="BK20" s="807"/>
      <c r="BL20" s="411"/>
      <c r="BM20" s="42"/>
      <c r="BN20" s="42"/>
      <c r="BO20" s="43"/>
      <c r="BP20" s="44"/>
      <c r="BQ20" s="45"/>
      <c r="BR20" s="45"/>
      <c r="BS20" s="7"/>
      <c r="BT20" s="817"/>
      <c r="BU20" s="504"/>
    </row>
    <row r="21" spans="1:73" s="507" customFormat="1" ht="15.75">
      <c r="A21" s="774" t="b">
        <f t="shared" si="16"/>
        <v>0</v>
      </c>
      <c r="B21" s="8"/>
      <c r="C21" s="8"/>
      <c r="D21" s="320"/>
      <c r="E21" s="336" t="b">
        <v>0</v>
      </c>
      <c r="F21" s="428"/>
      <c r="G21" s="422"/>
      <c r="H21" s="758"/>
      <c r="I21" s="785"/>
      <c r="J21" s="573">
        <f t="shared" si="18"/>
        <v>0</v>
      </c>
      <c r="K21" s="332" t="b">
        <v>0</v>
      </c>
      <c r="L21" s="332" t="b">
        <v>0</v>
      </c>
      <c r="M21" s="435" t="b">
        <v>0</v>
      </c>
      <c r="N21" s="436" t="b">
        <v>0</v>
      </c>
      <c r="O21" s="332" t="b">
        <v>0</v>
      </c>
      <c r="P21" s="435" t="b">
        <v>0</v>
      </c>
      <c r="Q21" s="436" t="b">
        <v>0</v>
      </c>
      <c r="R21" s="332" t="b">
        <v>0</v>
      </c>
      <c r="S21" s="435" t="b">
        <v>0</v>
      </c>
      <c r="T21" s="436" t="b">
        <v>0</v>
      </c>
      <c r="U21" s="436" t="b">
        <v>0</v>
      </c>
      <c r="V21" s="332" t="b">
        <v>0</v>
      </c>
      <c r="W21" s="332" t="b">
        <v>0</v>
      </c>
      <c r="X21" s="25"/>
      <c r="Y21" s="26"/>
      <c r="Z21" s="795"/>
      <c r="AA21" s="405"/>
      <c r="AB21" s="26"/>
      <c r="AC21" s="358" t="b">
        <v>0</v>
      </c>
      <c r="AD21" s="346" t="b">
        <v>0</v>
      </c>
      <c r="AE21" s="344" t="b">
        <v>0</v>
      </c>
      <c r="AF21" s="358" t="b">
        <v>0</v>
      </c>
      <c r="AG21" s="346" t="b">
        <v>0</v>
      </c>
      <c r="AH21" s="344" t="b">
        <v>0</v>
      </c>
      <c r="AI21" s="358" t="b">
        <v>0</v>
      </c>
      <c r="AJ21" s="346" t="b">
        <v>0</v>
      </c>
      <c r="AK21" s="344" t="b">
        <v>0</v>
      </c>
      <c r="AL21" s="358" t="b">
        <v>0</v>
      </c>
      <c r="AM21" s="346" t="b">
        <v>0</v>
      </c>
      <c r="AN21" s="364" t="b">
        <v>0</v>
      </c>
      <c r="AO21" s="345" t="b">
        <v>0</v>
      </c>
      <c r="AP21" s="346" t="b">
        <v>0</v>
      </c>
      <c r="AQ21" s="27"/>
      <c r="AR21" s="591">
        <f t="shared" si="17"/>
        <v>0</v>
      </c>
      <c r="AS21" s="376" t="b">
        <v>0</v>
      </c>
      <c r="AT21" s="332" t="b">
        <v>0</v>
      </c>
      <c r="AU21" s="377" t="b">
        <v>0</v>
      </c>
      <c r="AV21" s="376" t="b">
        <v>0</v>
      </c>
      <c r="AW21" s="332" t="b">
        <v>0</v>
      </c>
      <c r="AX21" s="377" t="b">
        <v>0</v>
      </c>
      <c r="AY21" s="376" t="b">
        <v>0</v>
      </c>
      <c r="AZ21" s="332" t="b">
        <v>0</v>
      </c>
      <c r="BA21" s="377" t="b">
        <v>0</v>
      </c>
      <c r="BB21" s="376" t="b">
        <v>0</v>
      </c>
      <c r="BC21" s="332" t="b">
        <v>0</v>
      </c>
      <c r="BD21" s="377" t="b">
        <v>0</v>
      </c>
      <c r="BE21" s="376" t="b">
        <v>0</v>
      </c>
      <c r="BF21" s="332" t="b">
        <v>0</v>
      </c>
      <c r="BG21" s="378" t="b">
        <v>0</v>
      </c>
      <c r="BH21" s="1025"/>
      <c r="BI21" s="1021"/>
      <c r="BJ21" s="399"/>
      <c r="BK21" s="808"/>
      <c r="BL21" s="412"/>
      <c r="BM21" s="46"/>
      <c r="BN21" s="46"/>
      <c r="BO21" s="47"/>
      <c r="BP21" s="48"/>
      <c r="BQ21" s="49"/>
      <c r="BR21" s="49"/>
      <c r="BS21" s="9"/>
      <c r="BT21" s="818"/>
      <c r="BU21" s="506"/>
    </row>
    <row r="22" spans="1:73" s="510" customFormat="1" ht="8.1" customHeight="1">
      <c r="A22" s="772" t="b">
        <f t="shared" si="16"/>
        <v>0</v>
      </c>
      <c r="B22" s="2"/>
      <c r="C22" s="2"/>
      <c r="D22" s="317"/>
      <c r="E22" s="329" t="b">
        <v>0</v>
      </c>
      <c r="F22" s="16"/>
      <c r="G22" s="423"/>
      <c r="H22" s="759"/>
      <c r="I22" s="786"/>
      <c r="J22" s="573">
        <f t="shared" si="18"/>
        <v>0</v>
      </c>
      <c r="K22" s="329" t="b">
        <v>0</v>
      </c>
      <c r="L22" s="329" t="b">
        <v>0</v>
      </c>
      <c r="M22" s="437" t="b">
        <v>0</v>
      </c>
      <c r="N22" s="438" t="b">
        <v>0</v>
      </c>
      <c r="O22" s="329" t="b">
        <v>0</v>
      </c>
      <c r="P22" s="437" t="b">
        <v>0</v>
      </c>
      <c r="Q22" s="438" t="b">
        <v>0</v>
      </c>
      <c r="R22" s="329" t="b">
        <v>0</v>
      </c>
      <c r="S22" s="437" t="b">
        <v>0</v>
      </c>
      <c r="T22" s="438" t="b">
        <v>0</v>
      </c>
      <c r="U22" s="438" t="b">
        <v>0</v>
      </c>
      <c r="V22" s="329" t="b">
        <v>0</v>
      </c>
      <c r="W22" s="329" t="b">
        <v>0</v>
      </c>
      <c r="X22" s="29"/>
      <c r="Y22" s="30"/>
      <c r="Z22" s="796"/>
      <c r="AA22" s="406"/>
      <c r="AB22" s="30"/>
      <c r="AC22" s="359" t="b">
        <v>0</v>
      </c>
      <c r="AD22" s="349" t="b">
        <v>0</v>
      </c>
      <c r="AE22" s="347" t="b">
        <v>0</v>
      </c>
      <c r="AF22" s="359" t="b">
        <v>0</v>
      </c>
      <c r="AG22" s="349" t="b">
        <v>0</v>
      </c>
      <c r="AH22" s="347" t="b">
        <v>0</v>
      </c>
      <c r="AI22" s="359" t="b">
        <v>0</v>
      </c>
      <c r="AJ22" s="349" t="b">
        <v>0</v>
      </c>
      <c r="AK22" s="347" t="b">
        <v>0</v>
      </c>
      <c r="AL22" s="359" t="b">
        <v>0</v>
      </c>
      <c r="AM22" s="349" t="b">
        <v>0</v>
      </c>
      <c r="AN22" s="365" t="b">
        <v>0</v>
      </c>
      <c r="AO22" s="348" t="b">
        <v>0</v>
      </c>
      <c r="AP22" s="349" t="b">
        <v>0</v>
      </c>
      <c r="AQ22" s="31"/>
      <c r="AR22" s="593">
        <f t="shared" si="17"/>
        <v>0</v>
      </c>
      <c r="AS22" s="379" t="b">
        <v>0</v>
      </c>
      <c r="AT22" s="329" t="b">
        <v>0</v>
      </c>
      <c r="AU22" s="380" t="b">
        <v>0</v>
      </c>
      <c r="AV22" s="379" t="b">
        <v>0</v>
      </c>
      <c r="AW22" s="329" t="b">
        <v>0</v>
      </c>
      <c r="AX22" s="380" t="b">
        <v>0</v>
      </c>
      <c r="AY22" s="379" t="b">
        <v>0</v>
      </c>
      <c r="AZ22" s="329" t="b">
        <v>0</v>
      </c>
      <c r="BA22" s="380" t="b">
        <v>0</v>
      </c>
      <c r="BB22" s="379" t="b">
        <v>0</v>
      </c>
      <c r="BC22" s="329" t="b">
        <v>0</v>
      </c>
      <c r="BD22" s="380" t="b">
        <v>0</v>
      </c>
      <c r="BE22" s="379" t="b">
        <v>0</v>
      </c>
      <c r="BF22" s="329" t="b">
        <v>0</v>
      </c>
      <c r="BG22" s="381" t="b">
        <v>0</v>
      </c>
      <c r="BH22" s="1026"/>
      <c r="BI22" s="1018"/>
      <c r="BJ22" s="400"/>
      <c r="BK22" s="809"/>
      <c r="BL22" s="413"/>
      <c r="BM22" s="50"/>
      <c r="BN22" s="50"/>
      <c r="BO22" s="51"/>
      <c r="BP22" s="52"/>
      <c r="BQ22" s="53"/>
      <c r="BR22" s="53"/>
      <c r="BS22" s="10"/>
      <c r="BT22" s="819"/>
      <c r="BU22" s="509"/>
    </row>
    <row r="23" spans="1:73" s="512" customFormat="1" ht="8.1" customHeight="1">
      <c r="A23" s="773" t="b">
        <f t="shared" si="16"/>
        <v>0</v>
      </c>
      <c r="B23" s="11"/>
      <c r="C23" s="11"/>
      <c r="D23" s="321"/>
      <c r="E23" s="333" t="b">
        <v>0</v>
      </c>
      <c r="F23" s="12"/>
      <c r="G23" s="427"/>
      <c r="H23" s="757"/>
      <c r="I23" s="784"/>
      <c r="J23" s="573">
        <f t="shared" si="18"/>
        <v>0</v>
      </c>
      <c r="K23" s="333" t="b">
        <v>0</v>
      </c>
      <c r="L23" s="333" t="b">
        <v>0</v>
      </c>
      <c r="M23" s="439" t="b">
        <v>0</v>
      </c>
      <c r="N23" s="440" t="b">
        <v>0</v>
      </c>
      <c r="O23" s="333" t="b">
        <v>0</v>
      </c>
      <c r="P23" s="439" t="b">
        <v>0</v>
      </c>
      <c r="Q23" s="440" t="b">
        <v>0</v>
      </c>
      <c r="R23" s="333" t="b">
        <v>0</v>
      </c>
      <c r="S23" s="439" t="b">
        <v>0</v>
      </c>
      <c r="T23" s="440" t="b">
        <v>0</v>
      </c>
      <c r="U23" s="440" t="b">
        <v>0</v>
      </c>
      <c r="V23" s="333" t="b">
        <v>0</v>
      </c>
      <c r="W23" s="333" t="b">
        <v>0</v>
      </c>
      <c r="X23" s="36"/>
      <c r="Y23" s="37"/>
      <c r="Z23" s="794"/>
      <c r="AA23" s="407"/>
      <c r="AB23" s="37"/>
      <c r="AC23" s="360" t="b">
        <v>0</v>
      </c>
      <c r="AD23" s="352" t="b">
        <v>0</v>
      </c>
      <c r="AE23" s="350" t="b">
        <v>0</v>
      </c>
      <c r="AF23" s="360" t="b">
        <v>0</v>
      </c>
      <c r="AG23" s="352" t="b">
        <v>0</v>
      </c>
      <c r="AH23" s="350" t="b">
        <v>0</v>
      </c>
      <c r="AI23" s="360" t="b">
        <v>0</v>
      </c>
      <c r="AJ23" s="352" t="b">
        <v>0</v>
      </c>
      <c r="AK23" s="350" t="b">
        <v>0</v>
      </c>
      <c r="AL23" s="360" t="b">
        <v>0</v>
      </c>
      <c r="AM23" s="352" t="b">
        <v>0</v>
      </c>
      <c r="AN23" s="366" t="b">
        <v>0</v>
      </c>
      <c r="AO23" s="351" t="b">
        <v>0</v>
      </c>
      <c r="AP23" s="352" t="b">
        <v>0</v>
      </c>
      <c r="AQ23" s="32"/>
      <c r="AR23" s="594">
        <f t="shared" si="17"/>
        <v>0</v>
      </c>
      <c r="AS23" s="382" t="b">
        <v>0</v>
      </c>
      <c r="AT23" s="333" t="b">
        <v>0</v>
      </c>
      <c r="AU23" s="383" t="b">
        <v>0</v>
      </c>
      <c r="AV23" s="382" t="b">
        <v>0</v>
      </c>
      <c r="AW23" s="333" t="b">
        <v>0</v>
      </c>
      <c r="AX23" s="383" t="b">
        <v>0</v>
      </c>
      <c r="AY23" s="382" t="b">
        <v>0</v>
      </c>
      <c r="AZ23" s="333" t="b">
        <v>0</v>
      </c>
      <c r="BA23" s="383" t="b">
        <v>0</v>
      </c>
      <c r="BB23" s="382" t="b">
        <v>0</v>
      </c>
      <c r="BC23" s="333" t="b">
        <v>0</v>
      </c>
      <c r="BD23" s="383" t="b">
        <v>0</v>
      </c>
      <c r="BE23" s="382" t="b">
        <v>0</v>
      </c>
      <c r="BF23" s="333" t="b">
        <v>0</v>
      </c>
      <c r="BG23" s="384" t="b">
        <v>0</v>
      </c>
      <c r="BH23" s="1027"/>
      <c r="BI23" s="1022"/>
      <c r="BJ23" s="401"/>
      <c r="BK23" s="807"/>
      <c r="BL23" s="414"/>
      <c r="BM23" s="54"/>
      <c r="BN23" s="54"/>
      <c r="BO23" s="55"/>
      <c r="BP23" s="56"/>
      <c r="BQ23" s="57"/>
      <c r="BR23" s="57"/>
      <c r="BS23" s="14"/>
      <c r="BT23" s="817"/>
      <c r="BU23" s="511"/>
    </row>
    <row r="24" spans="1:73" s="505" customFormat="1" ht="8.1" customHeight="1">
      <c r="A24" s="773" t="b">
        <f t="shared" si="16"/>
        <v>0</v>
      </c>
      <c r="B24" s="6"/>
      <c r="C24" s="6"/>
      <c r="D24" s="319"/>
      <c r="E24" s="337" t="b">
        <v>0</v>
      </c>
      <c r="F24" s="429"/>
      <c r="G24" s="421"/>
      <c r="H24" s="757"/>
      <c r="I24" s="784"/>
      <c r="J24" s="573">
        <f t="shared" si="18"/>
        <v>0</v>
      </c>
      <c r="K24" s="331" t="b">
        <v>0</v>
      </c>
      <c r="L24" s="331" t="b">
        <v>0</v>
      </c>
      <c r="M24" s="433" t="b">
        <v>0</v>
      </c>
      <c r="N24" s="434" t="b">
        <v>0</v>
      </c>
      <c r="O24" s="331" t="b">
        <v>0</v>
      </c>
      <c r="P24" s="433" t="b">
        <v>0</v>
      </c>
      <c r="Q24" s="434" t="b">
        <v>0</v>
      </c>
      <c r="R24" s="331" t="b">
        <v>0</v>
      </c>
      <c r="S24" s="433" t="b">
        <v>0</v>
      </c>
      <c r="T24" s="434" t="b">
        <v>0</v>
      </c>
      <c r="U24" s="434" t="b">
        <v>0</v>
      </c>
      <c r="V24" s="331" t="b">
        <v>0</v>
      </c>
      <c r="W24" s="331" t="b">
        <v>0</v>
      </c>
      <c r="X24" s="21"/>
      <c r="Y24" s="22"/>
      <c r="Z24" s="794"/>
      <c r="AA24" s="404"/>
      <c r="AB24" s="22"/>
      <c r="AC24" s="357" t="b">
        <v>0</v>
      </c>
      <c r="AD24" s="343" t="b">
        <v>0</v>
      </c>
      <c r="AE24" s="341" t="b">
        <v>0</v>
      </c>
      <c r="AF24" s="357" t="b">
        <v>0</v>
      </c>
      <c r="AG24" s="343" t="b">
        <v>0</v>
      </c>
      <c r="AH24" s="341" t="b">
        <v>0</v>
      </c>
      <c r="AI24" s="357" t="b">
        <v>0</v>
      </c>
      <c r="AJ24" s="343" t="b">
        <v>0</v>
      </c>
      <c r="AK24" s="341" t="b">
        <v>0</v>
      </c>
      <c r="AL24" s="357" t="b">
        <v>0</v>
      </c>
      <c r="AM24" s="343" t="b">
        <v>0</v>
      </c>
      <c r="AN24" s="363" t="b">
        <v>0</v>
      </c>
      <c r="AO24" s="342" t="b">
        <v>0</v>
      </c>
      <c r="AP24" s="343" t="b">
        <v>0</v>
      </c>
      <c r="AQ24" s="23"/>
      <c r="AR24" s="590">
        <f t="shared" si="17"/>
        <v>0</v>
      </c>
      <c r="AS24" s="373" t="b">
        <v>0</v>
      </c>
      <c r="AT24" s="331" t="b">
        <v>0</v>
      </c>
      <c r="AU24" s="374" t="b">
        <v>0</v>
      </c>
      <c r="AV24" s="373" t="b">
        <v>0</v>
      </c>
      <c r="AW24" s="331" t="b">
        <v>0</v>
      </c>
      <c r="AX24" s="374" t="b">
        <v>0</v>
      </c>
      <c r="AY24" s="373" t="b">
        <v>0</v>
      </c>
      <c r="AZ24" s="331" t="b">
        <v>0</v>
      </c>
      <c r="BA24" s="374" t="b">
        <v>0</v>
      </c>
      <c r="BB24" s="373" t="b">
        <v>0</v>
      </c>
      <c r="BC24" s="331" t="b">
        <v>0</v>
      </c>
      <c r="BD24" s="374" t="b">
        <v>0</v>
      </c>
      <c r="BE24" s="373" t="b">
        <v>0</v>
      </c>
      <c r="BF24" s="331" t="b">
        <v>0</v>
      </c>
      <c r="BG24" s="375" t="b">
        <v>0</v>
      </c>
      <c r="BH24" s="1024"/>
      <c r="BI24" s="1020"/>
      <c r="BJ24" s="398"/>
      <c r="BK24" s="807"/>
      <c r="BL24" s="411"/>
      <c r="BM24" s="42"/>
      <c r="BN24" s="42"/>
      <c r="BO24" s="43"/>
      <c r="BP24" s="44"/>
      <c r="BQ24" s="45"/>
      <c r="BR24" s="45"/>
      <c r="BS24" s="7"/>
      <c r="BT24" s="817"/>
      <c r="BU24" s="504"/>
    </row>
    <row r="25" spans="1:73" s="507" customFormat="1" ht="8.1" customHeight="1">
      <c r="A25" s="774" t="b">
        <f t="shared" si="16"/>
        <v>0</v>
      </c>
      <c r="B25" s="8"/>
      <c r="C25" s="8"/>
      <c r="D25" s="320"/>
      <c r="E25" s="332" t="b">
        <v>0</v>
      </c>
      <c r="F25" s="17"/>
      <c r="G25" s="422"/>
      <c r="H25" s="758"/>
      <c r="I25" s="785"/>
      <c r="J25" s="573">
        <f t="shared" si="18"/>
        <v>0</v>
      </c>
      <c r="K25" s="332" t="b">
        <v>0</v>
      </c>
      <c r="L25" s="332" t="b">
        <v>0</v>
      </c>
      <c r="M25" s="435" t="b">
        <v>0</v>
      </c>
      <c r="N25" s="436" t="b">
        <v>0</v>
      </c>
      <c r="O25" s="332" t="b">
        <v>0</v>
      </c>
      <c r="P25" s="435" t="b">
        <v>0</v>
      </c>
      <c r="Q25" s="436" t="b">
        <v>0</v>
      </c>
      <c r="R25" s="332" t="b">
        <v>0</v>
      </c>
      <c r="S25" s="435" t="b">
        <v>0</v>
      </c>
      <c r="T25" s="436" t="b">
        <v>0</v>
      </c>
      <c r="U25" s="436" t="b">
        <v>0</v>
      </c>
      <c r="V25" s="332" t="b">
        <v>0</v>
      </c>
      <c r="W25" s="332" t="b">
        <v>0</v>
      </c>
      <c r="X25" s="25"/>
      <c r="Y25" s="26"/>
      <c r="Z25" s="795"/>
      <c r="AA25" s="405"/>
      <c r="AB25" s="26"/>
      <c r="AC25" s="358" t="b">
        <v>0</v>
      </c>
      <c r="AD25" s="346" t="b">
        <v>0</v>
      </c>
      <c r="AE25" s="344" t="b">
        <v>0</v>
      </c>
      <c r="AF25" s="358" t="b">
        <v>0</v>
      </c>
      <c r="AG25" s="346" t="b">
        <v>0</v>
      </c>
      <c r="AH25" s="344" t="b">
        <v>0</v>
      </c>
      <c r="AI25" s="358" t="b">
        <v>0</v>
      </c>
      <c r="AJ25" s="346" t="b">
        <v>0</v>
      </c>
      <c r="AK25" s="344" t="b">
        <v>0</v>
      </c>
      <c r="AL25" s="358" t="b">
        <v>0</v>
      </c>
      <c r="AM25" s="346" t="b">
        <v>0</v>
      </c>
      <c r="AN25" s="364" t="b">
        <v>0</v>
      </c>
      <c r="AO25" s="345" t="b">
        <v>0</v>
      </c>
      <c r="AP25" s="346" t="b">
        <v>0</v>
      </c>
      <c r="AQ25" s="27"/>
      <c r="AR25" s="591">
        <f t="shared" si="17"/>
        <v>0</v>
      </c>
      <c r="AS25" s="376" t="b">
        <v>0</v>
      </c>
      <c r="AT25" s="332" t="b">
        <v>0</v>
      </c>
      <c r="AU25" s="377" t="b">
        <v>0</v>
      </c>
      <c r="AV25" s="376" t="b">
        <v>0</v>
      </c>
      <c r="AW25" s="332" t="b">
        <v>0</v>
      </c>
      <c r="AX25" s="377" t="b">
        <v>0</v>
      </c>
      <c r="AY25" s="376" t="b">
        <v>0</v>
      </c>
      <c r="AZ25" s="332" t="b">
        <v>0</v>
      </c>
      <c r="BA25" s="377" t="b">
        <v>0</v>
      </c>
      <c r="BB25" s="376" t="b">
        <v>0</v>
      </c>
      <c r="BC25" s="332" t="b">
        <v>0</v>
      </c>
      <c r="BD25" s="377" t="b">
        <v>0</v>
      </c>
      <c r="BE25" s="376" t="b">
        <v>0</v>
      </c>
      <c r="BF25" s="332" t="b">
        <v>0</v>
      </c>
      <c r="BG25" s="378" t="b">
        <v>0</v>
      </c>
      <c r="BH25" s="1025"/>
      <c r="BI25" s="1021"/>
      <c r="BJ25" s="399"/>
      <c r="BK25" s="808"/>
      <c r="BL25" s="412"/>
      <c r="BM25" s="46"/>
      <c r="BN25" s="46"/>
      <c r="BO25" s="47"/>
      <c r="BP25" s="48"/>
      <c r="BQ25" s="49"/>
      <c r="BR25" s="49"/>
      <c r="BS25" s="9"/>
      <c r="BT25" s="818"/>
      <c r="BU25" s="506"/>
    </row>
    <row r="26" spans="1:73" s="510" customFormat="1" ht="8.1" customHeight="1">
      <c r="A26" s="772" t="b">
        <f t="shared" si="16"/>
        <v>0</v>
      </c>
      <c r="B26" s="2"/>
      <c r="C26" s="2"/>
      <c r="D26" s="317"/>
      <c r="E26" s="329" t="b">
        <v>0</v>
      </c>
      <c r="F26" s="16"/>
      <c r="G26" s="423"/>
      <c r="H26" s="759"/>
      <c r="I26" s="786"/>
      <c r="J26" s="573">
        <f t="shared" ref="J26:J33" si="19">COUNTIF(K26:W26,TRUE)</f>
        <v>0</v>
      </c>
      <c r="K26" s="329" t="b">
        <v>0</v>
      </c>
      <c r="L26" s="329" t="b">
        <v>0</v>
      </c>
      <c r="M26" s="437" t="b">
        <v>0</v>
      </c>
      <c r="N26" s="438" t="b">
        <v>0</v>
      </c>
      <c r="O26" s="329" t="b">
        <v>0</v>
      </c>
      <c r="P26" s="437" t="b">
        <v>0</v>
      </c>
      <c r="Q26" s="438" t="b">
        <v>0</v>
      </c>
      <c r="R26" s="329" t="b">
        <v>0</v>
      </c>
      <c r="S26" s="437" t="b">
        <v>0</v>
      </c>
      <c r="T26" s="438" t="b">
        <v>0</v>
      </c>
      <c r="U26" s="438" t="b">
        <v>0</v>
      </c>
      <c r="V26" s="329" t="b">
        <v>0</v>
      </c>
      <c r="W26" s="329" t="b">
        <v>0</v>
      </c>
      <c r="X26" s="29"/>
      <c r="Y26" s="30"/>
      <c r="Z26" s="796"/>
      <c r="AA26" s="406"/>
      <c r="AB26" s="30"/>
      <c r="AC26" s="359" t="b">
        <v>0</v>
      </c>
      <c r="AD26" s="349" t="b">
        <v>0</v>
      </c>
      <c r="AE26" s="347" t="b">
        <v>0</v>
      </c>
      <c r="AF26" s="359" t="b">
        <v>0</v>
      </c>
      <c r="AG26" s="349" t="b">
        <v>0</v>
      </c>
      <c r="AH26" s="347" t="b">
        <v>0</v>
      </c>
      <c r="AI26" s="359" t="b">
        <v>0</v>
      </c>
      <c r="AJ26" s="349" t="b">
        <v>0</v>
      </c>
      <c r="AK26" s="347" t="b">
        <v>0</v>
      </c>
      <c r="AL26" s="359" t="b">
        <v>0</v>
      </c>
      <c r="AM26" s="349" t="b">
        <v>0</v>
      </c>
      <c r="AN26" s="365" t="b">
        <v>0</v>
      </c>
      <c r="AO26" s="348" t="b">
        <v>0</v>
      </c>
      <c r="AP26" s="349" t="b">
        <v>0</v>
      </c>
      <c r="AQ26" s="31"/>
      <c r="AR26" s="592">
        <f t="shared" ref="AR26:AR33" si="20">COUNTIF(AS26:BG26,TRUE)</f>
        <v>0</v>
      </c>
      <c r="AS26" s="379" t="b">
        <v>0</v>
      </c>
      <c r="AT26" s="329" t="b">
        <v>0</v>
      </c>
      <c r="AU26" s="380" t="b">
        <v>0</v>
      </c>
      <c r="AV26" s="379" t="b">
        <v>0</v>
      </c>
      <c r="AW26" s="329" t="b">
        <v>0</v>
      </c>
      <c r="AX26" s="380" t="b">
        <v>0</v>
      </c>
      <c r="AY26" s="379" t="b">
        <v>0</v>
      </c>
      <c r="AZ26" s="329" t="b">
        <v>0</v>
      </c>
      <c r="BA26" s="380" t="b">
        <v>0</v>
      </c>
      <c r="BB26" s="379" t="b">
        <v>0</v>
      </c>
      <c r="BC26" s="329" t="b">
        <v>0</v>
      </c>
      <c r="BD26" s="380" t="b">
        <v>0</v>
      </c>
      <c r="BE26" s="379" t="b">
        <v>0</v>
      </c>
      <c r="BF26" s="329" t="b">
        <v>0</v>
      </c>
      <c r="BG26" s="381" t="b">
        <v>0</v>
      </c>
      <c r="BH26" s="1026"/>
      <c r="BI26" s="1018"/>
      <c r="BJ26" s="400"/>
      <c r="BK26" s="809"/>
      <c r="BL26" s="413"/>
      <c r="BM26" s="50"/>
      <c r="BN26" s="50"/>
      <c r="BO26" s="51"/>
      <c r="BP26" s="52"/>
      <c r="BQ26" s="53"/>
      <c r="BR26" s="53"/>
      <c r="BS26" s="10"/>
      <c r="BT26" s="819"/>
      <c r="BU26" s="509"/>
    </row>
    <row r="27" spans="1:73" s="512" customFormat="1" ht="8.1" customHeight="1">
      <c r="A27" s="773" t="b">
        <f t="shared" si="16"/>
        <v>0</v>
      </c>
      <c r="B27" s="11"/>
      <c r="C27" s="11"/>
      <c r="D27" s="321"/>
      <c r="E27" s="335" t="b">
        <v>0</v>
      </c>
      <c r="F27" s="426"/>
      <c r="G27" s="427"/>
      <c r="H27" s="757"/>
      <c r="I27" s="784"/>
      <c r="J27" s="573">
        <f t="shared" si="19"/>
        <v>0</v>
      </c>
      <c r="K27" s="333" t="b">
        <v>0</v>
      </c>
      <c r="L27" s="333" t="b">
        <v>0</v>
      </c>
      <c r="M27" s="439" t="b">
        <v>0</v>
      </c>
      <c r="N27" s="440" t="b">
        <v>0</v>
      </c>
      <c r="O27" s="333" t="b">
        <v>0</v>
      </c>
      <c r="P27" s="439" t="b">
        <v>0</v>
      </c>
      <c r="Q27" s="440" t="b">
        <v>0</v>
      </c>
      <c r="R27" s="333" t="b">
        <v>0</v>
      </c>
      <c r="S27" s="439" t="b">
        <v>0</v>
      </c>
      <c r="T27" s="440" t="b">
        <v>0</v>
      </c>
      <c r="U27" s="440" t="b">
        <v>0</v>
      </c>
      <c r="V27" s="333" t="b">
        <v>0</v>
      </c>
      <c r="W27" s="333" t="b">
        <v>0</v>
      </c>
      <c r="X27" s="36"/>
      <c r="Y27" s="37"/>
      <c r="Z27" s="794"/>
      <c r="AA27" s="407"/>
      <c r="AB27" s="37"/>
      <c r="AC27" s="360" t="b">
        <v>0</v>
      </c>
      <c r="AD27" s="352" t="b">
        <v>0</v>
      </c>
      <c r="AE27" s="350" t="b">
        <v>0</v>
      </c>
      <c r="AF27" s="360" t="b">
        <v>0</v>
      </c>
      <c r="AG27" s="352" t="b">
        <v>0</v>
      </c>
      <c r="AH27" s="350" t="b">
        <v>0</v>
      </c>
      <c r="AI27" s="360" t="b">
        <v>0</v>
      </c>
      <c r="AJ27" s="352" t="b">
        <v>0</v>
      </c>
      <c r="AK27" s="350" t="b">
        <v>0</v>
      </c>
      <c r="AL27" s="360" t="b">
        <v>0</v>
      </c>
      <c r="AM27" s="352" t="b">
        <v>0</v>
      </c>
      <c r="AN27" s="366" t="b">
        <v>0</v>
      </c>
      <c r="AO27" s="351" t="b">
        <v>0</v>
      </c>
      <c r="AP27" s="352" t="b">
        <v>0</v>
      </c>
      <c r="AQ27" s="32"/>
      <c r="AR27" s="590">
        <f t="shared" si="20"/>
        <v>0</v>
      </c>
      <c r="AS27" s="382" t="b">
        <v>0</v>
      </c>
      <c r="AT27" s="333" t="b">
        <v>0</v>
      </c>
      <c r="AU27" s="383" t="b">
        <v>0</v>
      </c>
      <c r="AV27" s="382" t="b">
        <v>0</v>
      </c>
      <c r="AW27" s="333" t="b">
        <v>0</v>
      </c>
      <c r="AX27" s="383" t="b">
        <v>0</v>
      </c>
      <c r="AY27" s="382" t="b">
        <v>0</v>
      </c>
      <c r="AZ27" s="333" t="b">
        <v>0</v>
      </c>
      <c r="BA27" s="383" t="b">
        <v>0</v>
      </c>
      <c r="BB27" s="382" t="b">
        <v>0</v>
      </c>
      <c r="BC27" s="333" t="b">
        <v>0</v>
      </c>
      <c r="BD27" s="383" t="b">
        <v>0</v>
      </c>
      <c r="BE27" s="382" t="b">
        <v>0</v>
      </c>
      <c r="BF27" s="333" t="b">
        <v>0</v>
      </c>
      <c r="BG27" s="384" t="b">
        <v>0</v>
      </c>
      <c r="BH27" s="1027"/>
      <c r="BI27" s="1022"/>
      <c r="BJ27" s="401"/>
      <c r="BK27" s="807"/>
      <c r="BL27" s="414"/>
      <c r="BM27" s="54"/>
      <c r="BN27" s="54"/>
      <c r="BO27" s="55"/>
      <c r="BP27" s="56"/>
      <c r="BQ27" s="57"/>
      <c r="BR27" s="57"/>
      <c r="BS27" s="14"/>
      <c r="BT27" s="817"/>
      <c r="BU27" s="511"/>
    </row>
    <row r="28" spans="1:73" s="505" customFormat="1" ht="8.1" customHeight="1">
      <c r="A28" s="773" t="b">
        <f t="shared" si="16"/>
        <v>0</v>
      </c>
      <c r="B28" s="6"/>
      <c r="C28" s="6"/>
      <c r="D28" s="319"/>
      <c r="E28" s="331" t="b">
        <v>0</v>
      </c>
      <c r="F28" s="15"/>
      <c r="G28" s="421"/>
      <c r="H28" s="757"/>
      <c r="I28" s="784"/>
      <c r="J28" s="573">
        <f t="shared" si="19"/>
        <v>0</v>
      </c>
      <c r="K28" s="331" t="b">
        <v>0</v>
      </c>
      <c r="L28" s="331" t="b">
        <v>0</v>
      </c>
      <c r="M28" s="433" t="b">
        <v>0</v>
      </c>
      <c r="N28" s="434" t="b">
        <v>0</v>
      </c>
      <c r="O28" s="331" t="b">
        <v>0</v>
      </c>
      <c r="P28" s="433" t="b">
        <v>0</v>
      </c>
      <c r="Q28" s="434" t="b">
        <v>0</v>
      </c>
      <c r="R28" s="331" t="b">
        <v>0</v>
      </c>
      <c r="S28" s="433" t="b">
        <v>0</v>
      </c>
      <c r="T28" s="434" t="b">
        <v>0</v>
      </c>
      <c r="U28" s="434" t="b">
        <v>0</v>
      </c>
      <c r="V28" s="331" t="b">
        <v>0</v>
      </c>
      <c r="W28" s="331" t="b">
        <v>0</v>
      </c>
      <c r="X28" s="21"/>
      <c r="Y28" s="22"/>
      <c r="Z28" s="794"/>
      <c r="AA28" s="404"/>
      <c r="AB28" s="22"/>
      <c r="AC28" s="357" t="b">
        <v>0</v>
      </c>
      <c r="AD28" s="343" t="b">
        <v>0</v>
      </c>
      <c r="AE28" s="341" t="b">
        <v>0</v>
      </c>
      <c r="AF28" s="357" t="b">
        <v>0</v>
      </c>
      <c r="AG28" s="343" t="b">
        <v>0</v>
      </c>
      <c r="AH28" s="341" t="b">
        <v>0</v>
      </c>
      <c r="AI28" s="357" t="b">
        <v>0</v>
      </c>
      <c r="AJ28" s="343" t="b">
        <v>0</v>
      </c>
      <c r="AK28" s="341" t="b">
        <v>0</v>
      </c>
      <c r="AL28" s="357" t="b">
        <v>0</v>
      </c>
      <c r="AM28" s="343" t="b">
        <v>0</v>
      </c>
      <c r="AN28" s="363" t="b">
        <v>0</v>
      </c>
      <c r="AO28" s="342" t="b">
        <v>0</v>
      </c>
      <c r="AP28" s="343" t="b">
        <v>0</v>
      </c>
      <c r="AQ28" s="23"/>
      <c r="AR28" s="590">
        <f t="shared" si="20"/>
        <v>0</v>
      </c>
      <c r="AS28" s="373" t="b">
        <v>0</v>
      </c>
      <c r="AT28" s="331" t="b">
        <v>0</v>
      </c>
      <c r="AU28" s="374" t="b">
        <v>0</v>
      </c>
      <c r="AV28" s="373" t="b">
        <v>0</v>
      </c>
      <c r="AW28" s="331" t="b">
        <v>0</v>
      </c>
      <c r="AX28" s="374" t="b">
        <v>0</v>
      </c>
      <c r="AY28" s="373" t="b">
        <v>0</v>
      </c>
      <c r="AZ28" s="331" t="b">
        <v>0</v>
      </c>
      <c r="BA28" s="374" t="b">
        <v>0</v>
      </c>
      <c r="BB28" s="373" t="b">
        <v>0</v>
      </c>
      <c r="BC28" s="331" t="b">
        <v>0</v>
      </c>
      <c r="BD28" s="374" t="b">
        <v>0</v>
      </c>
      <c r="BE28" s="373" t="b">
        <v>0</v>
      </c>
      <c r="BF28" s="331" t="b">
        <v>0</v>
      </c>
      <c r="BG28" s="375" t="b">
        <v>0</v>
      </c>
      <c r="BH28" s="1024"/>
      <c r="BI28" s="1020"/>
      <c r="BJ28" s="398"/>
      <c r="BK28" s="807"/>
      <c r="BL28" s="411"/>
      <c r="BM28" s="42"/>
      <c r="BN28" s="42"/>
      <c r="BO28" s="43"/>
      <c r="BP28" s="44"/>
      <c r="BQ28" s="45"/>
      <c r="BR28" s="45"/>
      <c r="BS28" s="7"/>
      <c r="BT28" s="817"/>
      <c r="BU28" s="504"/>
    </row>
    <row r="29" spans="1:73" s="507" customFormat="1" ht="8.1" customHeight="1">
      <c r="A29" s="774" t="b">
        <f t="shared" si="16"/>
        <v>0</v>
      </c>
      <c r="B29" s="8"/>
      <c r="C29" s="8"/>
      <c r="D29" s="320"/>
      <c r="E29" s="336" t="b">
        <v>0</v>
      </c>
      <c r="F29" s="428"/>
      <c r="G29" s="422"/>
      <c r="H29" s="758"/>
      <c r="I29" s="785"/>
      <c r="J29" s="573">
        <f t="shared" si="19"/>
        <v>0</v>
      </c>
      <c r="K29" s="332" t="b">
        <v>0</v>
      </c>
      <c r="L29" s="332" t="b">
        <v>0</v>
      </c>
      <c r="M29" s="435" t="b">
        <v>0</v>
      </c>
      <c r="N29" s="436" t="b">
        <v>0</v>
      </c>
      <c r="O29" s="332" t="b">
        <v>0</v>
      </c>
      <c r="P29" s="435" t="b">
        <v>0</v>
      </c>
      <c r="Q29" s="436" t="b">
        <v>0</v>
      </c>
      <c r="R29" s="332" t="b">
        <v>0</v>
      </c>
      <c r="S29" s="435" t="b">
        <v>0</v>
      </c>
      <c r="T29" s="436" t="b">
        <v>0</v>
      </c>
      <c r="U29" s="436" t="b">
        <v>0</v>
      </c>
      <c r="V29" s="332" t="b">
        <v>0</v>
      </c>
      <c r="W29" s="332" t="b">
        <v>0</v>
      </c>
      <c r="X29" s="25"/>
      <c r="Y29" s="26"/>
      <c r="Z29" s="795"/>
      <c r="AA29" s="405"/>
      <c r="AB29" s="26"/>
      <c r="AC29" s="358" t="b">
        <v>0</v>
      </c>
      <c r="AD29" s="346" t="b">
        <v>0</v>
      </c>
      <c r="AE29" s="344" t="b">
        <v>0</v>
      </c>
      <c r="AF29" s="358" t="b">
        <v>0</v>
      </c>
      <c r="AG29" s="346" t="b">
        <v>0</v>
      </c>
      <c r="AH29" s="344" t="b">
        <v>0</v>
      </c>
      <c r="AI29" s="358" t="b">
        <v>0</v>
      </c>
      <c r="AJ29" s="346" t="b">
        <v>0</v>
      </c>
      <c r="AK29" s="344" t="b">
        <v>0</v>
      </c>
      <c r="AL29" s="358" t="b">
        <v>0</v>
      </c>
      <c r="AM29" s="346" t="b">
        <v>0</v>
      </c>
      <c r="AN29" s="364" t="b">
        <v>0</v>
      </c>
      <c r="AO29" s="345" t="b">
        <v>0</v>
      </c>
      <c r="AP29" s="346" t="b">
        <v>0</v>
      </c>
      <c r="AQ29" s="27"/>
      <c r="AR29" s="591">
        <f t="shared" si="20"/>
        <v>0</v>
      </c>
      <c r="AS29" s="376" t="b">
        <v>0</v>
      </c>
      <c r="AT29" s="332" t="b">
        <v>0</v>
      </c>
      <c r="AU29" s="377" t="b">
        <v>0</v>
      </c>
      <c r="AV29" s="376" t="b">
        <v>0</v>
      </c>
      <c r="AW29" s="332" t="b">
        <v>0</v>
      </c>
      <c r="AX29" s="377" t="b">
        <v>0</v>
      </c>
      <c r="AY29" s="376" t="b">
        <v>0</v>
      </c>
      <c r="AZ29" s="332" t="b">
        <v>0</v>
      </c>
      <c r="BA29" s="377" t="b">
        <v>0</v>
      </c>
      <c r="BB29" s="376" t="b">
        <v>0</v>
      </c>
      <c r="BC29" s="332" t="b">
        <v>0</v>
      </c>
      <c r="BD29" s="377" t="b">
        <v>0</v>
      </c>
      <c r="BE29" s="376" t="b">
        <v>0</v>
      </c>
      <c r="BF29" s="332" t="b">
        <v>0</v>
      </c>
      <c r="BG29" s="378" t="b">
        <v>0</v>
      </c>
      <c r="BH29" s="1025"/>
      <c r="BI29" s="1021"/>
      <c r="BJ29" s="399"/>
      <c r="BK29" s="808"/>
      <c r="BL29" s="412"/>
      <c r="BM29" s="46"/>
      <c r="BN29" s="46"/>
      <c r="BO29" s="47"/>
      <c r="BP29" s="48"/>
      <c r="BQ29" s="49"/>
      <c r="BR29" s="49"/>
      <c r="BS29" s="9"/>
      <c r="BT29" s="818"/>
      <c r="BU29" s="506"/>
    </row>
    <row r="30" spans="1:73" s="510" customFormat="1" ht="8.1" customHeight="1">
      <c r="A30" s="772" t="b">
        <f t="shared" si="16"/>
        <v>0</v>
      </c>
      <c r="B30" s="2"/>
      <c r="C30" s="2"/>
      <c r="D30" s="317"/>
      <c r="E30" s="329" t="b">
        <v>0</v>
      </c>
      <c r="F30" s="16"/>
      <c r="G30" s="423"/>
      <c r="H30" s="759"/>
      <c r="I30" s="786"/>
      <c r="J30" s="573">
        <f t="shared" si="19"/>
        <v>0</v>
      </c>
      <c r="K30" s="329" t="b">
        <v>0</v>
      </c>
      <c r="L30" s="329" t="b">
        <v>0</v>
      </c>
      <c r="M30" s="437" t="b">
        <v>0</v>
      </c>
      <c r="N30" s="438" t="b">
        <v>0</v>
      </c>
      <c r="O30" s="329" t="b">
        <v>0</v>
      </c>
      <c r="P30" s="437" t="b">
        <v>0</v>
      </c>
      <c r="Q30" s="438" t="b">
        <v>0</v>
      </c>
      <c r="R30" s="329" t="b">
        <v>0</v>
      </c>
      <c r="S30" s="437" t="b">
        <v>0</v>
      </c>
      <c r="T30" s="438" t="b">
        <v>0</v>
      </c>
      <c r="U30" s="438" t="b">
        <v>0</v>
      </c>
      <c r="V30" s="329" t="b">
        <v>0</v>
      </c>
      <c r="W30" s="329" t="b">
        <v>0</v>
      </c>
      <c r="X30" s="29"/>
      <c r="Y30" s="30"/>
      <c r="Z30" s="796"/>
      <c r="AA30" s="406"/>
      <c r="AB30" s="30"/>
      <c r="AC30" s="359" t="b">
        <v>0</v>
      </c>
      <c r="AD30" s="349" t="b">
        <v>0</v>
      </c>
      <c r="AE30" s="347" t="b">
        <v>0</v>
      </c>
      <c r="AF30" s="359" t="b">
        <v>0</v>
      </c>
      <c r="AG30" s="349" t="b">
        <v>0</v>
      </c>
      <c r="AH30" s="347" t="b">
        <v>0</v>
      </c>
      <c r="AI30" s="359" t="b">
        <v>0</v>
      </c>
      <c r="AJ30" s="349" t="b">
        <v>0</v>
      </c>
      <c r="AK30" s="347" t="b">
        <v>0</v>
      </c>
      <c r="AL30" s="359" t="b">
        <v>0</v>
      </c>
      <c r="AM30" s="349" t="b">
        <v>0</v>
      </c>
      <c r="AN30" s="365" t="b">
        <v>0</v>
      </c>
      <c r="AO30" s="348" t="b">
        <v>0</v>
      </c>
      <c r="AP30" s="349" t="b">
        <v>0</v>
      </c>
      <c r="AQ30" s="31"/>
      <c r="AR30" s="593">
        <f t="shared" si="20"/>
        <v>0</v>
      </c>
      <c r="AS30" s="379" t="b">
        <v>0</v>
      </c>
      <c r="AT30" s="329" t="b">
        <v>0</v>
      </c>
      <c r="AU30" s="380" t="b">
        <v>0</v>
      </c>
      <c r="AV30" s="379" t="b">
        <v>0</v>
      </c>
      <c r="AW30" s="329" t="b">
        <v>0</v>
      </c>
      <c r="AX30" s="380" t="b">
        <v>0</v>
      </c>
      <c r="AY30" s="379" t="b">
        <v>0</v>
      </c>
      <c r="AZ30" s="329" t="b">
        <v>0</v>
      </c>
      <c r="BA30" s="380" t="b">
        <v>0</v>
      </c>
      <c r="BB30" s="379" t="b">
        <v>0</v>
      </c>
      <c r="BC30" s="329" t="b">
        <v>0</v>
      </c>
      <c r="BD30" s="380" t="b">
        <v>0</v>
      </c>
      <c r="BE30" s="379" t="b">
        <v>0</v>
      </c>
      <c r="BF30" s="329" t="b">
        <v>0</v>
      </c>
      <c r="BG30" s="381" t="b">
        <v>0</v>
      </c>
      <c r="BH30" s="1026"/>
      <c r="BI30" s="1018"/>
      <c r="BJ30" s="400"/>
      <c r="BK30" s="809"/>
      <c r="BL30" s="413"/>
      <c r="BM30" s="50"/>
      <c r="BN30" s="50"/>
      <c r="BO30" s="51"/>
      <c r="BP30" s="52"/>
      <c r="BQ30" s="53"/>
      <c r="BR30" s="53"/>
      <c r="BS30" s="10"/>
      <c r="BT30" s="819"/>
      <c r="BU30" s="509"/>
    </row>
    <row r="31" spans="1:73" s="512" customFormat="1" ht="8.1" customHeight="1">
      <c r="A31" s="773" t="b">
        <f t="shared" si="16"/>
        <v>0</v>
      </c>
      <c r="B31" s="11"/>
      <c r="C31" s="11"/>
      <c r="D31" s="321"/>
      <c r="E31" s="333" t="b">
        <v>0</v>
      </c>
      <c r="F31" s="12"/>
      <c r="G31" s="427"/>
      <c r="H31" s="757"/>
      <c r="I31" s="784"/>
      <c r="J31" s="573">
        <f t="shared" si="19"/>
        <v>0</v>
      </c>
      <c r="K31" s="333" t="b">
        <v>0</v>
      </c>
      <c r="L31" s="333" t="b">
        <v>0</v>
      </c>
      <c r="M31" s="439" t="b">
        <v>0</v>
      </c>
      <c r="N31" s="440" t="b">
        <v>0</v>
      </c>
      <c r="O31" s="333" t="b">
        <v>0</v>
      </c>
      <c r="P31" s="439" t="b">
        <v>0</v>
      </c>
      <c r="Q31" s="440" t="b">
        <v>0</v>
      </c>
      <c r="R31" s="333" t="b">
        <v>0</v>
      </c>
      <c r="S31" s="439" t="b">
        <v>0</v>
      </c>
      <c r="T31" s="440" t="b">
        <v>0</v>
      </c>
      <c r="U31" s="440" t="b">
        <v>0</v>
      </c>
      <c r="V31" s="333" t="b">
        <v>0</v>
      </c>
      <c r="W31" s="333" t="b">
        <v>0</v>
      </c>
      <c r="X31" s="36"/>
      <c r="Y31" s="37"/>
      <c r="Z31" s="794"/>
      <c r="AA31" s="407"/>
      <c r="AB31" s="37"/>
      <c r="AC31" s="360" t="b">
        <v>0</v>
      </c>
      <c r="AD31" s="352" t="b">
        <v>0</v>
      </c>
      <c r="AE31" s="350" t="b">
        <v>0</v>
      </c>
      <c r="AF31" s="360" t="b">
        <v>0</v>
      </c>
      <c r="AG31" s="352" t="b">
        <v>0</v>
      </c>
      <c r="AH31" s="350" t="b">
        <v>0</v>
      </c>
      <c r="AI31" s="360" t="b">
        <v>0</v>
      </c>
      <c r="AJ31" s="352" t="b">
        <v>0</v>
      </c>
      <c r="AK31" s="350" t="b">
        <v>0</v>
      </c>
      <c r="AL31" s="360" t="b">
        <v>0</v>
      </c>
      <c r="AM31" s="352" t="b">
        <v>0</v>
      </c>
      <c r="AN31" s="366" t="b">
        <v>0</v>
      </c>
      <c r="AO31" s="351" t="b">
        <v>0</v>
      </c>
      <c r="AP31" s="352" t="b">
        <v>0</v>
      </c>
      <c r="AQ31" s="32"/>
      <c r="AR31" s="594">
        <f t="shared" si="20"/>
        <v>0</v>
      </c>
      <c r="AS31" s="382" t="b">
        <v>0</v>
      </c>
      <c r="AT31" s="333" t="b">
        <v>0</v>
      </c>
      <c r="AU31" s="383" t="b">
        <v>0</v>
      </c>
      <c r="AV31" s="382" t="b">
        <v>0</v>
      </c>
      <c r="AW31" s="333" t="b">
        <v>0</v>
      </c>
      <c r="AX31" s="383" t="b">
        <v>0</v>
      </c>
      <c r="AY31" s="382" t="b">
        <v>0</v>
      </c>
      <c r="AZ31" s="333" t="b">
        <v>0</v>
      </c>
      <c r="BA31" s="383" t="b">
        <v>0</v>
      </c>
      <c r="BB31" s="382" t="b">
        <v>0</v>
      </c>
      <c r="BC31" s="333" t="b">
        <v>0</v>
      </c>
      <c r="BD31" s="383" t="b">
        <v>0</v>
      </c>
      <c r="BE31" s="382" t="b">
        <v>0</v>
      </c>
      <c r="BF31" s="333" t="b">
        <v>0</v>
      </c>
      <c r="BG31" s="384" t="b">
        <v>0</v>
      </c>
      <c r="BH31" s="1027"/>
      <c r="BI31" s="1022"/>
      <c r="BJ31" s="401"/>
      <c r="BK31" s="807"/>
      <c r="BL31" s="414"/>
      <c r="BM31" s="54"/>
      <c r="BN31" s="54"/>
      <c r="BO31" s="55"/>
      <c r="BP31" s="56"/>
      <c r="BQ31" s="57"/>
      <c r="BR31" s="57"/>
      <c r="BS31" s="14"/>
      <c r="BT31" s="817"/>
      <c r="BU31" s="511"/>
    </row>
    <row r="32" spans="1:73" s="505" customFormat="1" ht="8.1" customHeight="1">
      <c r="A32" s="773" t="b">
        <f t="shared" si="16"/>
        <v>0</v>
      </c>
      <c r="B32" s="6"/>
      <c r="C32" s="6"/>
      <c r="D32" s="319"/>
      <c r="E32" s="337" t="b">
        <v>0</v>
      </c>
      <c r="F32" s="429"/>
      <c r="G32" s="421"/>
      <c r="H32" s="757"/>
      <c r="I32" s="784"/>
      <c r="J32" s="573">
        <f t="shared" si="19"/>
        <v>0</v>
      </c>
      <c r="K32" s="331" t="b">
        <v>0</v>
      </c>
      <c r="L32" s="331" t="b">
        <v>0</v>
      </c>
      <c r="M32" s="433" t="b">
        <v>0</v>
      </c>
      <c r="N32" s="434" t="b">
        <v>0</v>
      </c>
      <c r="O32" s="331" t="b">
        <v>0</v>
      </c>
      <c r="P32" s="433" t="b">
        <v>0</v>
      </c>
      <c r="Q32" s="434" t="b">
        <v>0</v>
      </c>
      <c r="R32" s="331" t="b">
        <v>0</v>
      </c>
      <c r="S32" s="433" t="b">
        <v>0</v>
      </c>
      <c r="T32" s="434" t="b">
        <v>0</v>
      </c>
      <c r="U32" s="434" t="b">
        <v>0</v>
      </c>
      <c r="V32" s="331" t="b">
        <v>0</v>
      </c>
      <c r="W32" s="331" t="b">
        <v>0</v>
      </c>
      <c r="X32" s="21"/>
      <c r="Y32" s="22"/>
      <c r="Z32" s="794"/>
      <c r="AA32" s="404"/>
      <c r="AB32" s="22"/>
      <c r="AC32" s="357" t="b">
        <v>0</v>
      </c>
      <c r="AD32" s="343" t="b">
        <v>0</v>
      </c>
      <c r="AE32" s="341" t="b">
        <v>0</v>
      </c>
      <c r="AF32" s="357" t="b">
        <v>0</v>
      </c>
      <c r="AG32" s="343" t="b">
        <v>0</v>
      </c>
      <c r="AH32" s="341" t="b">
        <v>0</v>
      </c>
      <c r="AI32" s="357" t="b">
        <v>0</v>
      </c>
      <c r="AJ32" s="343" t="b">
        <v>0</v>
      </c>
      <c r="AK32" s="341" t="b">
        <v>0</v>
      </c>
      <c r="AL32" s="357" t="b">
        <v>0</v>
      </c>
      <c r="AM32" s="343" t="b">
        <v>0</v>
      </c>
      <c r="AN32" s="363" t="b">
        <v>0</v>
      </c>
      <c r="AO32" s="342" t="b">
        <v>0</v>
      </c>
      <c r="AP32" s="343" t="b">
        <v>0</v>
      </c>
      <c r="AQ32" s="23"/>
      <c r="AR32" s="590">
        <f t="shared" si="20"/>
        <v>0</v>
      </c>
      <c r="AS32" s="373" t="b">
        <v>0</v>
      </c>
      <c r="AT32" s="331" t="b">
        <v>0</v>
      </c>
      <c r="AU32" s="374" t="b">
        <v>0</v>
      </c>
      <c r="AV32" s="373" t="b">
        <v>0</v>
      </c>
      <c r="AW32" s="331" t="b">
        <v>0</v>
      </c>
      <c r="AX32" s="374" t="b">
        <v>0</v>
      </c>
      <c r="AY32" s="373" t="b">
        <v>0</v>
      </c>
      <c r="AZ32" s="331" t="b">
        <v>0</v>
      </c>
      <c r="BA32" s="374" t="b">
        <v>0</v>
      </c>
      <c r="BB32" s="373" t="b">
        <v>0</v>
      </c>
      <c r="BC32" s="331" t="b">
        <v>0</v>
      </c>
      <c r="BD32" s="374" t="b">
        <v>0</v>
      </c>
      <c r="BE32" s="373" t="b">
        <v>0</v>
      </c>
      <c r="BF32" s="331" t="b">
        <v>0</v>
      </c>
      <c r="BG32" s="375" t="b">
        <v>0</v>
      </c>
      <c r="BH32" s="1024"/>
      <c r="BI32" s="1020"/>
      <c r="BJ32" s="398"/>
      <c r="BK32" s="807"/>
      <c r="BL32" s="411"/>
      <c r="BM32" s="42"/>
      <c r="BN32" s="42"/>
      <c r="BO32" s="43"/>
      <c r="BP32" s="44"/>
      <c r="BQ32" s="45"/>
      <c r="BR32" s="45"/>
      <c r="BS32" s="7"/>
      <c r="BT32" s="817"/>
      <c r="BU32" s="504"/>
    </row>
    <row r="33" spans="1:73" s="507" customFormat="1" ht="8.1" customHeight="1">
      <c r="A33" s="774" t="b">
        <f t="shared" si="16"/>
        <v>0</v>
      </c>
      <c r="B33" s="8"/>
      <c r="C33" s="8"/>
      <c r="D33" s="320"/>
      <c r="E33" s="332" t="b">
        <v>0</v>
      </c>
      <c r="F33" s="17"/>
      <c r="G33" s="422"/>
      <c r="H33" s="758"/>
      <c r="I33" s="785"/>
      <c r="J33" s="573">
        <f t="shared" si="19"/>
        <v>0</v>
      </c>
      <c r="K33" s="332" t="b">
        <v>0</v>
      </c>
      <c r="L33" s="332" t="b">
        <v>0</v>
      </c>
      <c r="M33" s="435" t="b">
        <v>0</v>
      </c>
      <c r="N33" s="436" t="b">
        <v>0</v>
      </c>
      <c r="O33" s="332" t="b">
        <v>0</v>
      </c>
      <c r="P33" s="435" t="b">
        <v>0</v>
      </c>
      <c r="Q33" s="436" t="b">
        <v>0</v>
      </c>
      <c r="R33" s="332" t="b">
        <v>0</v>
      </c>
      <c r="S33" s="435" t="b">
        <v>0</v>
      </c>
      <c r="T33" s="436" t="b">
        <v>0</v>
      </c>
      <c r="U33" s="436" t="b">
        <v>0</v>
      </c>
      <c r="V33" s="332" t="b">
        <v>0</v>
      </c>
      <c r="W33" s="332" t="b">
        <v>0</v>
      </c>
      <c r="X33" s="25"/>
      <c r="Y33" s="26"/>
      <c r="Z33" s="795"/>
      <c r="AA33" s="405"/>
      <c r="AB33" s="26"/>
      <c r="AC33" s="358" t="b">
        <v>0</v>
      </c>
      <c r="AD33" s="346" t="b">
        <v>0</v>
      </c>
      <c r="AE33" s="344" t="b">
        <v>0</v>
      </c>
      <c r="AF33" s="358" t="b">
        <v>0</v>
      </c>
      <c r="AG33" s="346" t="b">
        <v>0</v>
      </c>
      <c r="AH33" s="344" t="b">
        <v>0</v>
      </c>
      <c r="AI33" s="358" t="b">
        <v>0</v>
      </c>
      <c r="AJ33" s="346" t="b">
        <v>0</v>
      </c>
      <c r="AK33" s="344" t="b">
        <v>0</v>
      </c>
      <c r="AL33" s="358" t="b">
        <v>0</v>
      </c>
      <c r="AM33" s="346" t="b">
        <v>0</v>
      </c>
      <c r="AN33" s="364" t="b">
        <v>0</v>
      </c>
      <c r="AO33" s="345" t="b">
        <v>0</v>
      </c>
      <c r="AP33" s="346" t="b">
        <v>0</v>
      </c>
      <c r="AQ33" s="27"/>
      <c r="AR33" s="591">
        <f t="shared" si="20"/>
        <v>0</v>
      </c>
      <c r="AS33" s="376" t="b">
        <v>0</v>
      </c>
      <c r="AT33" s="332" t="b">
        <v>0</v>
      </c>
      <c r="AU33" s="377" t="b">
        <v>0</v>
      </c>
      <c r="AV33" s="376" t="b">
        <v>0</v>
      </c>
      <c r="AW33" s="332" t="b">
        <v>0</v>
      </c>
      <c r="AX33" s="377" t="b">
        <v>0</v>
      </c>
      <c r="AY33" s="376" t="b">
        <v>0</v>
      </c>
      <c r="AZ33" s="332" t="b">
        <v>0</v>
      </c>
      <c r="BA33" s="377" t="b">
        <v>0</v>
      </c>
      <c r="BB33" s="376" t="b">
        <v>0</v>
      </c>
      <c r="BC33" s="332" t="b">
        <v>0</v>
      </c>
      <c r="BD33" s="377" t="b">
        <v>0</v>
      </c>
      <c r="BE33" s="376" t="b">
        <v>0</v>
      </c>
      <c r="BF33" s="332" t="b">
        <v>0</v>
      </c>
      <c r="BG33" s="378" t="b">
        <v>0</v>
      </c>
      <c r="BH33" s="1025"/>
      <c r="BI33" s="1021"/>
      <c r="BJ33" s="399"/>
      <c r="BK33" s="808"/>
      <c r="BL33" s="412"/>
      <c r="BM33" s="46"/>
      <c r="BN33" s="46"/>
      <c r="BO33" s="47"/>
      <c r="BP33" s="48"/>
      <c r="BQ33" s="49"/>
      <c r="BR33" s="49"/>
      <c r="BS33" s="9"/>
      <c r="BT33" s="818"/>
      <c r="BU33" s="506"/>
    </row>
    <row r="34" spans="1:73" s="510" customFormat="1" ht="8.1" customHeight="1">
      <c r="A34" s="772" t="b">
        <f t="shared" si="16"/>
        <v>0</v>
      </c>
      <c r="B34" s="2"/>
      <c r="C34" s="2"/>
      <c r="D34" s="317"/>
      <c r="E34" s="329" t="b">
        <v>0</v>
      </c>
      <c r="F34" s="16"/>
      <c r="G34" s="423"/>
      <c r="H34" s="759"/>
      <c r="I34" s="786"/>
      <c r="J34" s="573">
        <f t="shared" si="18"/>
        <v>0</v>
      </c>
      <c r="K34" s="329" t="b">
        <v>0</v>
      </c>
      <c r="L34" s="329" t="b">
        <v>0</v>
      </c>
      <c r="M34" s="437" t="b">
        <v>0</v>
      </c>
      <c r="N34" s="438" t="b">
        <v>0</v>
      </c>
      <c r="O34" s="329" t="b">
        <v>0</v>
      </c>
      <c r="P34" s="437" t="b">
        <v>0</v>
      </c>
      <c r="Q34" s="438" t="b">
        <v>0</v>
      </c>
      <c r="R34" s="329" t="b">
        <v>0</v>
      </c>
      <c r="S34" s="437" t="b">
        <v>0</v>
      </c>
      <c r="T34" s="438" t="b">
        <v>0</v>
      </c>
      <c r="U34" s="438" t="b">
        <v>0</v>
      </c>
      <c r="V34" s="329" t="b">
        <v>0</v>
      </c>
      <c r="W34" s="329" t="b">
        <v>0</v>
      </c>
      <c r="X34" s="29"/>
      <c r="Y34" s="30"/>
      <c r="Z34" s="796"/>
      <c r="AA34" s="406"/>
      <c r="AB34" s="30"/>
      <c r="AC34" s="359" t="b">
        <v>0</v>
      </c>
      <c r="AD34" s="349" t="b">
        <v>0</v>
      </c>
      <c r="AE34" s="347" t="b">
        <v>0</v>
      </c>
      <c r="AF34" s="359" t="b">
        <v>0</v>
      </c>
      <c r="AG34" s="349" t="b">
        <v>0</v>
      </c>
      <c r="AH34" s="347" t="b">
        <v>0</v>
      </c>
      <c r="AI34" s="359" t="b">
        <v>0</v>
      </c>
      <c r="AJ34" s="349" t="b">
        <v>0</v>
      </c>
      <c r="AK34" s="347" t="b">
        <v>0</v>
      </c>
      <c r="AL34" s="359" t="b">
        <v>0</v>
      </c>
      <c r="AM34" s="349" t="b">
        <v>0</v>
      </c>
      <c r="AN34" s="365" t="b">
        <v>0</v>
      </c>
      <c r="AO34" s="348" t="b">
        <v>0</v>
      </c>
      <c r="AP34" s="349" t="b">
        <v>0</v>
      </c>
      <c r="AQ34" s="31"/>
      <c r="AR34" s="592">
        <f t="shared" si="17"/>
        <v>0</v>
      </c>
      <c r="AS34" s="379" t="b">
        <v>0</v>
      </c>
      <c r="AT34" s="329" t="b">
        <v>0</v>
      </c>
      <c r="AU34" s="380" t="b">
        <v>0</v>
      </c>
      <c r="AV34" s="379" t="b">
        <v>0</v>
      </c>
      <c r="AW34" s="329" t="b">
        <v>0</v>
      </c>
      <c r="AX34" s="380" t="b">
        <v>0</v>
      </c>
      <c r="AY34" s="379" t="b">
        <v>0</v>
      </c>
      <c r="AZ34" s="329" t="b">
        <v>0</v>
      </c>
      <c r="BA34" s="380" t="b">
        <v>0</v>
      </c>
      <c r="BB34" s="379" t="b">
        <v>0</v>
      </c>
      <c r="BC34" s="329" t="b">
        <v>0</v>
      </c>
      <c r="BD34" s="380" t="b">
        <v>0</v>
      </c>
      <c r="BE34" s="379" t="b">
        <v>0</v>
      </c>
      <c r="BF34" s="329" t="b">
        <v>0</v>
      </c>
      <c r="BG34" s="381" t="b">
        <v>0</v>
      </c>
      <c r="BH34" s="1026"/>
      <c r="BI34" s="1018"/>
      <c r="BJ34" s="400"/>
      <c r="BK34" s="809"/>
      <c r="BL34" s="413"/>
      <c r="BM34" s="50"/>
      <c r="BN34" s="50"/>
      <c r="BO34" s="51"/>
      <c r="BP34" s="52"/>
      <c r="BQ34" s="53"/>
      <c r="BR34" s="53"/>
      <c r="BS34" s="10"/>
      <c r="BT34" s="819"/>
      <c r="BU34" s="509"/>
    </row>
    <row r="35" spans="1:73" s="512" customFormat="1" ht="8.1" customHeight="1">
      <c r="A35" s="773" t="b">
        <f t="shared" si="16"/>
        <v>0</v>
      </c>
      <c r="B35" s="11"/>
      <c r="C35" s="11"/>
      <c r="D35" s="321"/>
      <c r="E35" s="333" t="b">
        <v>0</v>
      </c>
      <c r="F35" s="12"/>
      <c r="G35" s="427"/>
      <c r="H35" s="757"/>
      <c r="I35" s="784"/>
      <c r="J35" s="573">
        <f t="shared" si="18"/>
        <v>0</v>
      </c>
      <c r="K35" s="333" t="b">
        <v>0</v>
      </c>
      <c r="L35" s="333" t="b">
        <v>0</v>
      </c>
      <c r="M35" s="439" t="b">
        <v>0</v>
      </c>
      <c r="N35" s="440" t="b">
        <v>0</v>
      </c>
      <c r="O35" s="333" t="b">
        <v>0</v>
      </c>
      <c r="P35" s="439" t="b">
        <v>0</v>
      </c>
      <c r="Q35" s="440" t="b">
        <v>0</v>
      </c>
      <c r="R35" s="333" t="b">
        <v>0</v>
      </c>
      <c r="S35" s="439" t="b">
        <v>0</v>
      </c>
      <c r="T35" s="440" t="b">
        <v>0</v>
      </c>
      <c r="U35" s="440" t="b">
        <v>0</v>
      </c>
      <c r="V35" s="333" t="b">
        <v>0</v>
      </c>
      <c r="W35" s="333" t="b">
        <v>0</v>
      </c>
      <c r="X35" s="36"/>
      <c r="Y35" s="37"/>
      <c r="Z35" s="794"/>
      <c r="AA35" s="407"/>
      <c r="AB35" s="37"/>
      <c r="AC35" s="360" t="b">
        <v>0</v>
      </c>
      <c r="AD35" s="352" t="b">
        <v>0</v>
      </c>
      <c r="AE35" s="350" t="b">
        <v>0</v>
      </c>
      <c r="AF35" s="360" t="b">
        <v>0</v>
      </c>
      <c r="AG35" s="352" t="b">
        <v>0</v>
      </c>
      <c r="AH35" s="350" t="b">
        <v>0</v>
      </c>
      <c r="AI35" s="360" t="b">
        <v>0</v>
      </c>
      <c r="AJ35" s="352" t="b">
        <v>0</v>
      </c>
      <c r="AK35" s="350" t="b">
        <v>0</v>
      </c>
      <c r="AL35" s="360" t="b">
        <v>0</v>
      </c>
      <c r="AM35" s="352" t="b">
        <v>0</v>
      </c>
      <c r="AN35" s="366" t="b">
        <v>0</v>
      </c>
      <c r="AO35" s="351" t="b">
        <v>0</v>
      </c>
      <c r="AP35" s="352" t="b">
        <v>0</v>
      </c>
      <c r="AQ35" s="32"/>
      <c r="AR35" s="590">
        <f t="shared" si="17"/>
        <v>0</v>
      </c>
      <c r="AS35" s="382" t="b">
        <v>0</v>
      </c>
      <c r="AT35" s="333" t="b">
        <v>0</v>
      </c>
      <c r="AU35" s="383" t="b">
        <v>0</v>
      </c>
      <c r="AV35" s="382" t="b">
        <v>0</v>
      </c>
      <c r="AW35" s="333" t="b">
        <v>0</v>
      </c>
      <c r="AX35" s="383" t="b">
        <v>0</v>
      </c>
      <c r="AY35" s="382" t="b">
        <v>0</v>
      </c>
      <c r="AZ35" s="333" t="b">
        <v>0</v>
      </c>
      <c r="BA35" s="383" t="b">
        <v>0</v>
      </c>
      <c r="BB35" s="382" t="b">
        <v>0</v>
      </c>
      <c r="BC35" s="333" t="b">
        <v>0</v>
      </c>
      <c r="BD35" s="383" t="b">
        <v>0</v>
      </c>
      <c r="BE35" s="382" t="b">
        <v>0</v>
      </c>
      <c r="BF35" s="333" t="b">
        <v>0</v>
      </c>
      <c r="BG35" s="384" t="b">
        <v>0</v>
      </c>
      <c r="BH35" s="1027"/>
      <c r="BI35" s="1022"/>
      <c r="BJ35" s="401"/>
      <c r="BK35" s="807"/>
      <c r="BL35" s="414"/>
      <c r="BM35" s="54"/>
      <c r="BN35" s="54"/>
      <c r="BO35" s="55"/>
      <c r="BP35" s="56"/>
      <c r="BQ35" s="57"/>
      <c r="BR35" s="57"/>
      <c r="BS35" s="14"/>
      <c r="BT35" s="817"/>
      <c r="BU35" s="511"/>
    </row>
    <row r="36" spans="1:73" s="505" customFormat="1" ht="8.1" customHeight="1">
      <c r="A36" s="773" t="b">
        <f t="shared" si="16"/>
        <v>0</v>
      </c>
      <c r="B36" s="6"/>
      <c r="C36" s="6"/>
      <c r="D36" s="319"/>
      <c r="E36" s="337" t="b">
        <v>0</v>
      </c>
      <c r="F36" s="429"/>
      <c r="G36" s="421"/>
      <c r="H36" s="757"/>
      <c r="I36" s="784"/>
      <c r="J36" s="573">
        <f t="shared" si="18"/>
        <v>0</v>
      </c>
      <c r="K36" s="331" t="b">
        <v>0</v>
      </c>
      <c r="L36" s="331" t="b">
        <v>0</v>
      </c>
      <c r="M36" s="433" t="b">
        <v>0</v>
      </c>
      <c r="N36" s="434" t="b">
        <v>0</v>
      </c>
      <c r="O36" s="331" t="b">
        <v>0</v>
      </c>
      <c r="P36" s="433" t="b">
        <v>0</v>
      </c>
      <c r="Q36" s="434" t="b">
        <v>0</v>
      </c>
      <c r="R36" s="331" t="b">
        <v>0</v>
      </c>
      <c r="S36" s="433" t="b">
        <v>0</v>
      </c>
      <c r="T36" s="434" t="b">
        <v>0</v>
      </c>
      <c r="U36" s="434" t="b">
        <v>0</v>
      </c>
      <c r="V36" s="331" t="b">
        <v>0</v>
      </c>
      <c r="W36" s="331" t="b">
        <v>0</v>
      </c>
      <c r="X36" s="21"/>
      <c r="Y36" s="22"/>
      <c r="Z36" s="794"/>
      <c r="AA36" s="404"/>
      <c r="AB36" s="22"/>
      <c r="AC36" s="357" t="b">
        <v>0</v>
      </c>
      <c r="AD36" s="343" t="b">
        <v>0</v>
      </c>
      <c r="AE36" s="341" t="b">
        <v>0</v>
      </c>
      <c r="AF36" s="357" t="b">
        <v>0</v>
      </c>
      <c r="AG36" s="343" t="b">
        <v>0</v>
      </c>
      <c r="AH36" s="341" t="b">
        <v>0</v>
      </c>
      <c r="AI36" s="357" t="b">
        <v>0</v>
      </c>
      <c r="AJ36" s="343" t="b">
        <v>0</v>
      </c>
      <c r="AK36" s="341" t="b">
        <v>0</v>
      </c>
      <c r="AL36" s="357" t="b">
        <v>0</v>
      </c>
      <c r="AM36" s="343" t="b">
        <v>0</v>
      </c>
      <c r="AN36" s="363" t="b">
        <v>0</v>
      </c>
      <c r="AO36" s="342" t="b">
        <v>0</v>
      </c>
      <c r="AP36" s="343" t="b">
        <v>0</v>
      </c>
      <c r="AQ36" s="23"/>
      <c r="AR36" s="590">
        <f t="shared" si="17"/>
        <v>0</v>
      </c>
      <c r="AS36" s="373" t="b">
        <v>0</v>
      </c>
      <c r="AT36" s="331" t="b">
        <v>0</v>
      </c>
      <c r="AU36" s="374" t="b">
        <v>0</v>
      </c>
      <c r="AV36" s="373" t="b">
        <v>0</v>
      </c>
      <c r="AW36" s="331" t="b">
        <v>0</v>
      </c>
      <c r="AX36" s="374" t="b">
        <v>0</v>
      </c>
      <c r="AY36" s="373" t="b">
        <v>0</v>
      </c>
      <c r="AZ36" s="331" t="b">
        <v>0</v>
      </c>
      <c r="BA36" s="374" t="b">
        <v>0</v>
      </c>
      <c r="BB36" s="373" t="b">
        <v>0</v>
      </c>
      <c r="BC36" s="331" t="b">
        <v>0</v>
      </c>
      <c r="BD36" s="374" t="b">
        <v>0</v>
      </c>
      <c r="BE36" s="373" t="b">
        <v>0</v>
      </c>
      <c r="BF36" s="331" t="b">
        <v>0</v>
      </c>
      <c r="BG36" s="375" t="b">
        <v>0</v>
      </c>
      <c r="BH36" s="1024"/>
      <c r="BI36" s="1020"/>
      <c r="BJ36" s="398"/>
      <c r="BK36" s="807"/>
      <c r="BL36" s="411"/>
      <c r="BM36" s="42"/>
      <c r="BN36" s="42"/>
      <c r="BO36" s="43"/>
      <c r="BP36" s="44"/>
      <c r="BQ36" s="45"/>
      <c r="BR36" s="45"/>
      <c r="BS36" s="7"/>
      <c r="BT36" s="817"/>
      <c r="BU36" s="504"/>
    </row>
    <row r="37" spans="1:73" s="507" customFormat="1" ht="8.1" customHeight="1">
      <c r="A37" s="774" t="b">
        <f t="shared" si="16"/>
        <v>0</v>
      </c>
      <c r="B37" s="8"/>
      <c r="C37" s="8"/>
      <c r="D37" s="320"/>
      <c r="E37" s="332" t="b">
        <v>0</v>
      </c>
      <c r="F37" s="17"/>
      <c r="G37" s="422"/>
      <c r="H37" s="758"/>
      <c r="I37" s="785"/>
      <c r="J37" s="573">
        <f t="shared" si="18"/>
        <v>0</v>
      </c>
      <c r="K37" s="332" t="b">
        <v>0</v>
      </c>
      <c r="L37" s="332" t="b">
        <v>0</v>
      </c>
      <c r="M37" s="435" t="b">
        <v>0</v>
      </c>
      <c r="N37" s="436" t="b">
        <v>0</v>
      </c>
      <c r="O37" s="332" t="b">
        <v>0</v>
      </c>
      <c r="P37" s="435" t="b">
        <v>0</v>
      </c>
      <c r="Q37" s="436" t="b">
        <v>0</v>
      </c>
      <c r="R37" s="332" t="b">
        <v>0</v>
      </c>
      <c r="S37" s="435" t="b">
        <v>0</v>
      </c>
      <c r="T37" s="436" t="b">
        <v>0</v>
      </c>
      <c r="U37" s="436" t="b">
        <v>0</v>
      </c>
      <c r="V37" s="332" t="b">
        <v>0</v>
      </c>
      <c r="W37" s="332" t="b">
        <v>0</v>
      </c>
      <c r="X37" s="25"/>
      <c r="Y37" s="26"/>
      <c r="Z37" s="795"/>
      <c r="AA37" s="405"/>
      <c r="AB37" s="26"/>
      <c r="AC37" s="358" t="b">
        <v>0</v>
      </c>
      <c r="AD37" s="346" t="b">
        <v>0</v>
      </c>
      <c r="AE37" s="344" t="b">
        <v>0</v>
      </c>
      <c r="AF37" s="358" t="b">
        <v>0</v>
      </c>
      <c r="AG37" s="346" t="b">
        <v>0</v>
      </c>
      <c r="AH37" s="344" t="b">
        <v>0</v>
      </c>
      <c r="AI37" s="358" t="b">
        <v>0</v>
      </c>
      <c r="AJ37" s="346" t="b">
        <v>0</v>
      </c>
      <c r="AK37" s="344" t="b">
        <v>0</v>
      </c>
      <c r="AL37" s="358" t="b">
        <v>0</v>
      </c>
      <c r="AM37" s="346" t="b">
        <v>0</v>
      </c>
      <c r="AN37" s="364" t="b">
        <v>0</v>
      </c>
      <c r="AO37" s="345" t="b">
        <v>0</v>
      </c>
      <c r="AP37" s="346" t="b">
        <v>0</v>
      </c>
      <c r="AQ37" s="27"/>
      <c r="AR37" s="591">
        <f t="shared" si="17"/>
        <v>0</v>
      </c>
      <c r="AS37" s="376" t="b">
        <v>0</v>
      </c>
      <c r="AT37" s="332" t="b">
        <v>0</v>
      </c>
      <c r="AU37" s="377" t="b">
        <v>0</v>
      </c>
      <c r="AV37" s="376" t="b">
        <v>0</v>
      </c>
      <c r="AW37" s="332" t="b">
        <v>0</v>
      </c>
      <c r="AX37" s="377" t="b">
        <v>0</v>
      </c>
      <c r="AY37" s="376" t="b">
        <v>0</v>
      </c>
      <c r="AZ37" s="332" t="b">
        <v>0</v>
      </c>
      <c r="BA37" s="377" t="b">
        <v>0</v>
      </c>
      <c r="BB37" s="376" t="b">
        <v>0</v>
      </c>
      <c r="BC37" s="332" t="b">
        <v>0</v>
      </c>
      <c r="BD37" s="377" t="b">
        <v>0</v>
      </c>
      <c r="BE37" s="376" t="b">
        <v>0</v>
      </c>
      <c r="BF37" s="332" t="b">
        <v>0</v>
      </c>
      <c r="BG37" s="378" t="b">
        <v>0</v>
      </c>
      <c r="BH37" s="1025"/>
      <c r="BI37" s="1021"/>
      <c r="BJ37" s="399"/>
      <c r="BK37" s="808"/>
      <c r="BL37" s="412"/>
      <c r="BM37" s="46"/>
      <c r="BN37" s="46"/>
      <c r="BO37" s="47"/>
      <c r="BP37" s="48"/>
      <c r="BQ37" s="49"/>
      <c r="BR37" s="49"/>
      <c r="BS37" s="9"/>
      <c r="BT37" s="818"/>
      <c r="BU37" s="506"/>
    </row>
    <row r="38" spans="1:73" s="539" customFormat="1">
      <c r="A38" s="775"/>
      <c r="B38" s="1041" t="s">
        <v>77</v>
      </c>
      <c r="C38" s="959">
        <f ca="1">NOW()</f>
        <v>45930.417584374998</v>
      </c>
      <c r="D38" s="1040" t="str">
        <f>HilfeListe!A40</f>
        <v>V 18/09/2025</v>
      </c>
      <c r="E38" s="515"/>
      <c r="F38" s="516"/>
      <c r="G38" s="517"/>
      <c r="H38" s="760"/>
      <c r="I38" s="787"/>
      <c r="J38" s="518" t="str">
        <f>IF(AND($A38&lt;&gt;"",SUM(K38:W38)&gt;=0),SUM(K38:W38),"")</f>
        <v/>
      </c>
      <c r="K38" s="519"/>
      <c r="L38" s="519"/>
      <c r="M38" s="520"/>
      <c r="N38" s="521"/>
      <c r="O38" s="519"/>
      <c r="P38" s="520"/>
      <c r="Q38" s="521"/>
      <c r="R38" s="519"/>
      <c r="S38" s="520"/>
      <c r="T38" s="521"/>
      <c r="U38" s="521"/>
      <c r="V38" s="519"/>
      <c r="W38" s="519"/>
      <c r="X38" s="522"/>
      <c r="Y38" s="523"/>
      <c r="Z38" s="797"/>
      <c r="AA38" s="524"/>
      <c r="AB38" s="525"/>
      <c r="AC38" s="526"/>
      <c r="AD38" s="527"/>
      <c r="AE38" s="528"/>
      <c r="AF38" s="526"/>
      <c r="AG38" s="527"/>
      <c r="AH38" s="528"/>
      <c r="AI38" s="526"/>
      <c r="AJ38" s="527"/>
      <c r="AK38" s="528"/>
      <c r="AL38" s="526"/>
      <c r="AM38" s="527"/>
      <c r="AN38" s="529"/>
      <c r="AO38" s="530"/>
      <c r="AP38" s="527"/>
      <c r="AQ38" s="528"/>
      <c r="AR38" s="508" t="str">
        <f>IF(AND($A38&lt;&gt;"",SUM(AS38:BG38)&gt;=0),SUM(AS38:BG38),"")</f>
        <v/>
      </c>
      <c r="AS38" s="531"/>
      <c r="AT38" s="532"/>
      <c r="AU38" s="533"/>
      <c r="AV38" s="531"/>
      <c r="AW38" s="532"/>
      <c r="AX38" s="533"/>
      <c r="AY38" s="531"/>
      <c r="AZ38" s="532"/>
      <c r="BA38" s="533"/>
      <c r="BB38" s="531"/>
      <c r="BC38" s="532"/>
      <c r="BD38" s="533"/>
      <c r="BE38" s="531"/>
      <c r="BF38" s="532"/>
      <c r="BG38" s="534"/>
      <c r="BH38" s="535"/>
      <c r="BI38" s="536"/>
      <c r="BJ38" s="537"/>
      <c r="BK38" s="810"/>
      <c r="BL38" s="628"/>
      <c r="BM38" s="629"/>
      <c r="BN38" s="629"/>
      <c r="BO38" s="630"/>
      <c r="BP38" s="631"/>
      <c r="BQ38" s="632"/>
      <c r="BR38" s="632"/>
      <c r="BS38" s="633"/>
      <c r="BT38" s="820"/>
      <c r="BU38" s="538"/>
    </row>
    <row r="39" spans="1:73" ht="22.5">
      <c r="A39" s="1091" t="s">
        <v>78</v>
      </c>
      <c r="B39" s="1112" t="s">
        <v>79</v>
      </c>
      <c r="C39" s="1113"/>
      <c r="D39" s="1034" t="s">
        <v>80</v>
      </c>
      <c r="E39" s="824" t="b">
        <v>0</v>
      </c>
      <c r="F39" s="1087" t="str">
        <f>("Hallo und danke für die Anmeldung zur Tour!
Anmeldebestätigung: "&amp;TourTitel&amp;" ("&amp;BuchungsCode&amp;")
   "&amp;DAY(StartDatum)&amp;"."&amp;MONTH(StartDatum)&amp;"."&amp;YEAR(StartDatum)&amp;"("&amp;StartZeit&amp;") - "&amp;DAY(EndeDatum)&amp;"."&amp;MONTH(EndeDatum)&amp;"."&amp;YEAR(EndeDatum)&amp;"
   Organisation: "&amp;OrgaVorname&amp;" "&amp;OrgaNachname&amp;"
Es gelten die AGB: https://www.dav-altdorf.de/AGBs (Voraussetzungen, Abmeldung, etc.)
Gebühr: "&amp;GebührenTage*GebührAltdorf&amp;"€ für Mitglieder DAV Altdorf, "&amp;GebührenTage*GebührGast&amp;"€ andere Sektion.
   ggf. zzgl. Anzahlung: 
-&gt; bitte überweisen (Fälligkeit: sofort)
"&amp;"   Konto: DAV Sektion Altdorf 
   Sparkasse Nürnberg, IBAN DE78 7605 0101 0380 3328 17 
   Verwendungszweck: "&amp;BuchungsCode&amp;"
Zur Tour-Kommunikation lade ich Dich noch in die Signalgruppe ein:
"&amp;"-&gt; Bitte schick mir Deine erforderliche Handy-Nr.
LG und bis bald")</f>
        <v>Hallo und danke für die Anmeldung zur Tour!
Anmeldebestätigung: Beispieltour egalwohin oder sowi (bs-2025-xx-xx)
   4.7.2025(p.m.) - 7.7.2025
   Organisation: VOrga NOrga
Es gelten die AGB: https://www.dav-altdorf.de/AGBs (Voraussetzungen, Abmeldung, etc.)
Gebühr: 15€ für Mitglieder DAV Altdorf, 30€ andere Sektion.
   ggf. zzgl. Anzahlung: 
-&gt; bitte überweisen (Fälligkeit: sofort)
   Konto: DAV Sektion Altdorf 
   Sparkasse Nürnberg, IBAN DE78 7605 0101 0380 3328 17 
   Verwendungszweck: bs-2025-xx-xx
Zur Tour-Kommunikation lade ich Dich noch in die Signalgruppe ein:
-&gt; Bitte schick mir Deine erforderliche Handy-Nr.
LG und bis bald</v>
      </c>
      <c r="G39" s="1088"/>
      <c r="H39" s="761"/>
      <c r="I39" s="1095" t="s">
        <v>81</v>
      </c>
      <c r="J39" s="417"/>
      <c r="K39" s="389"/>
      <c r="L39" s="389"/>
      <c r="M39" s="390"/>
      <c r="N39" s="391"/>
      <c r="O39" s="391"/>
      <c r="P39" s="390"/>
      <c r="Q39" s="391"/>
      <c r="R39" s="391"/>
      <c r="S39" s="392"/>
      <c r="T39" s="391"/>
      <c r="U39" s="391"/>
      <c r="V39" s="389"/>
      <c r="W39" s="391"/>
      <c r="X39" s="825" t="s">
        <v>82</v>
      </c>
      <c r="Y39" s="825" t="s">
        <v>83</v>
      </c>
      <c r="Z39" s="798"/>
      <c r="AA39" s="1094" t="s">
        <v>84</v>
      </c>
      <c r="AB39" s="1038" t="s">
        <v>85</v>
      </c>
      <c r="AC39" s="827"/>
      <c r="AD39" s="828"/>
      <c r="AE39" s="829"/>
      <c r="AF39" s="830"/>
      <c r="AG39" s="828"/>
      <c r="AH39" s="829"/>
      <c r="AI39" s="830"/>
      <c r="AJ39" s="828"/>
      <c r="AK39" s="829"/>
      <c r="AL39" s="830"/>
      <c r="AM39" s="828"/>
      <c r="AN39" s="831"/>
      <c r="AO39" s="832"/>
      <c r="AP39" s="828"/>
      <c r="AQ39" s="829"/>
      <c r="AR39" s="393"/>
      <c r="AS39" s="830"/>
      <c r="AT39" s="833"/>
      <c r="AU39" s="834"/>
      <c r="AV39" s="835"/>
      <c r="AW39" s="833"/>
      <c r="AX39" s="829"/>
      <c r="AY39" s="835"/>
      <c r="AZ39" s="833"/>
      <c r="BA39" s="834"/>
      <c r="BB39" s="835"/>
      <c r="BC39" s="833"/>
      <c r="BD39" s="834"/>
      <c r="BE39" s="835"/>
      <c r="BF39" s="833"/>
      <c r="BG39" s="836"/>
      <c r="BH39" s="837"/>
      <c r="BI39" s="834"/>
      <c r="BJ39" s="409"/>
      <c r="BK39" s="1081" t="s">
        <v>81</v>
      </c>
      <c r="BL39" s="389"/>
      <c r="BM39" s="389"/>
      <c r="BN39" s="838"/>
      <c r="BO39" s="839"/>
      <c r="BP39" s="389"/>
      <c r="BQ39" s="389"/>
      <c r="BR39" s="389"/>
      <c r="BS39" s="832" t="s">
        <v>86</v>
      </c>
      <c r="BT39" s="821"/>
    </row>
    <row r="40" spans="1:73">
      <c r="A40" s="1092"/>
      <c r="B40" s="1110" t="str">
        <f>HYPERLINK("mailto:"&amp;VLOOKUP("Geschäftsstelle",Liste_Gruppen,2,0)&amp;";"&amp;VLOOKUP("Schatzmeisterin",Liste_Gruppen,2,0)&amp;
"?Subject="&amp;BuchungsCode&amp;": "&amp;TourTitel&amp; " /TeilnahmeMeldung&amp;
cc="&amp;VLOOKUP(SektionsGruppe,Liste_Gruppen,2,0)&amp;";"&amp;
"&amp;body="&amp;"siehe DAV-Cloud %0A%0A"&amp;"LG "&amp;OrgaVorname&amp;" "&amp;OrgaNachname,
"Email an Sektion: Teilnehmende ")</f>
        <v xml:space="preserve">Email an Sektion: Teilnehmende </v>
      </c>
      <c r="C40" s="1111"/>
      <c r="D40" s="958">
        <f>StartDatum-14</f>
        <v>45828</v>
      </c>
      <c r="E40" s="824" t="b">
        <v>0</v>
      </c>
      <c r="F40" s="1084" t="s">
        <v>87</v>
      </c>
      <c r="G40" s="1085"/>
      <c r="H40" s="761"/>
      <c r="I40" s="1096"/>
      <c r="J40" s="417"/>
      <c r="K40" s="389"/>
      <c r="L40" s="389"/>
      <c r="M40" s="390"/>
      <c r="N40" s="391"/>
      <c r="O40" s="391"/>
      <c r="P40" s="390"/>
      <c r="Q40" s="391"/>
      <c r="R40" s="391"/>
      <c r="S40" s="392"/>
      <c r="T40" s="391"/>
      <c r="U40" s="391"/>
      <c r="V40" s="389"/>
      <c r="W40" s="391"/>
      <c r="X40" s="825"/>
      <c r="Y40" s="826" t="s">
        <v>88</v>
      </c>
      <c r="Z40" s="798"/>
      <c r="AA40" s="1082"/>
      <c r="AB40" s="1039" t="s">
        <v>89</v>
      </c>
      <c r="AC40" s="830"/>
      <c r="AD40" s="828"/>
      <c r="AE40" s="829"/>
      <c r="AF40" s="830"/>
      <c r="AG40" s="828"/>
      <c r="AH40" s="829"/>
      <c r="AI40" s="830"/>
      <c r="AJ40" s="828"/>
      <c r="AK40" s="829"/>
      <c r="AL40" s="830"/>
      <c r="AM40" s="828"/>
      <c r="AN40" s="831"/>
      <c r="AO40" s="832"/>
      <c r="AP40" s="828"/>
      <c r="AQ40" s="829"/>
      <c r="AR40" s="393"/>
      <c r="AS40" s="830"/>
      <c r="AT40" s="833"/>
      <c r="AU40" s="834"/>
      <c r="AV40" s="835"/>
      <c r="AW40" s="833"/>
      <c r="AX40" s="829"/>
      <c r="AY40" s="835"/>
      <c r="AZ40" s="833"/>
      <c r="BA40" s="834"/>
      <c r="BB40" s="835"/>
      <c r="BC40" s="833"/>
      <c r="BD40" s="834"/>
      <c r="BE40" s="835"/>
      <c r="BF40" s="833"/>
      <c r="BG40" s="836"/>
      <c r="BH40" s="837"/>
      <c r="BI40" s="834"/>
      <c r="BJ40" s="409"/>
      <c r="BK40" s="1082"/>
      <c r="BL40" s="389"/>
      <c r="BM40" s="389"/>
      <c r="BN40" s="838"/>
      <c r="BO40" s="839"/>
      <c r="BP40" s="389"/>
      <c r="BQ40" s="389"/>
      <c r="BR40" s="389"/>
      <c r="BS40" s="832" t="s">
        <v>90</v>
      </c>
      <c r="BT40" s="821"/>
    </row>
    <row r="41" spans="1:73">
      <c r="A41" s="1092"/>
      <c r="B41" s="1114" t="s">
        <v>91</v>
      </c>
      <c r="C41" s="1114"/>
      <c r="D41" s="958">
        <f>StartDatum-1</f>
        <v>45841</v>
      </c>
      <c r="E41" s="824" t="b">
        <v>0</v>
      </c>
      <c r="F41" s="1089" t="s">
        <v>92</v>
      </c>
      <c r="G41" s="1090"/>
      <c r="H41" s="761"/>
      <c r="I41" s="1096"/>
      <c r="J41" s="417"/>
      <c r="K41" s="389"/>
      <c r="L41" s="389"/>
      <c r="M41" s="390"/>
      <c r="N41" s="391"/>
      <c r="O41" s="391"/>
      <c r="P41" s="390"/>
      <c r="Q41" s="391"/>
      <c r="R41" s="391"/>
      <c r="S41" s="392"/>
      <c r="T41" s="391"/>
      <c r="U41" s="391"/>
      <c r="V41" s="389"/>
      <c r="W41" s="391"/>
      <c r="X41" s="825"/>
      <c r="Y41" s="826"/>
      <c r="Z41" s="798"/>
      <c r="AA41" s="1082"/>
      <c r="AB41" s="1039" t="s">
        <v>93</v>
      </c>
      <c r="AC41" s="830"/>
      <c r="AD41" s="828"/>
      <c r="AE41" s="829"/>
      <c r="AF41" s="830"/>
      <c r="AG41" s="828"/>
      <c r="AH41" s="829"/>
      <c r="AI41" s="830"/>
      <c r="AJ41" s="828"/>
      <c r="AK41" s="829"/>
      <c r="AL41" s="830"/>
      <c r="AM41" s="828"/>
      <c r="AN41" s="831"/>
      <c r="AO41" s="832"/>
      <c r="AP41" s="828"/>
      <c r="AQ41" s="829"/>
      <c r="AR41" s="393"/>
      <c r="AS41" s="830"/>
      <c r="AT41" s="833"/>
      <c r="AU41" s="834"/>
      <c r="AV41" s="835"/>
      <c r="AW41" s="833"/>
      <c r="AX41" s="829"/>
      <c r="AY41" s="835"/>
      <c r="AZ41" s="833"/>
      <c r="BA41" s="834"/>
      <c r="BB41" s="835"/>
      <c r="BC41" s="833"/>
      <c r="BD41" s="834"/>
      <c r="BE41" s="835"/>
      <c r="BF41" s="833"/>
      <c r="BG41" s="836"/>
      <c r="BH41" s="837"/>
      <c r="BI41" s="834"/>
      <c r="BJ41" s="409"/>
      <c r="BK41" s="1082"/>
      <c r="BL41" s="389"/>
      <c r="BM41" s="389"/>
      <c r="BN41" s="838"/>
      <c r="BO41" s="839"/>
      <c r="BP41" s="389"/>
      <c r="BQ41" s="389"/>
      <c r="BR41" s="389"/>
      <c r="BS41" s="832"/>
      <c r="BT41" s="821"/>
    </row>
    <row r="42" spans="1:73" ht="15" customHeight="1">
      <c r="A42" s="1092"/>
      <c r="B42" s="1110" t="str">
        <f>HYPERLINK("mailto:"&amp;VLOOKUP("Geschäftsstelle",Liste_Gruppen,2,0)&amp;";"&amp;VLOOKUP("Schatzmeisterin",Liste_Gruppen,2,0)&amp;";"&amp;VLOOKUP("Naturschutz",Liste_Gruppen,2,0)&amp;";" &amp;
"?Subject="&amp;BuchungsCode&amp;": "&amp;TourTitel&amp; " /AbschlussMeldung und Kostenerstattung&amp;
cc="&amp;VLOOKUP(SektionsGruppe,Liste_Gruppen,2,0)&amp;
"&amp;body="&amp;"siehe DAV-Cloud %0A%0A"&amp;"LG "&amp;OrgaVorname&amp;" "&amp;OrgaNachname,
"Email an Sektion: Abschluss und Kostenerstattung")</f>
        <v>Email an Sektion: Abschluss und Kostenerstattung</v>
      </c>
      <c r="C42" s="1111"/>
      <c r="D42" s="958">
        <f>EndeDatum+7</f>
        <v>45852</v>
      </c>
      <c r="E42" s="824" t="b">
        <v>0</v>
      </c>
      <c r="F42" s="1086" t="s">
        <v>94</v>
      </c>
      <c r="G42" s="1085"/>
      <c r="H42" s="761"/>
      <c r="I42" s="1096"/>
      <c r="J42" s="417"/>
      <c r="K42" s="389"/>
      <c r="L42" s="389"/>
      <c r="M42" s="390"/>
      <c r="N42" s="391"/>
      <c r="O42" s="391"/>
      <c r="P42" s="390"/>
      <c r="Q42" s="391"/>
      <c r="R42" s="391"/>
      <c r="S42" s="392"/>
      <c r="T42" s="391"/>
      <c r="U42" s="391"/>
      <c r="V42" s="389"/>
      <c r="W42" s="391"/>
      <c r="X42" s="825"/>
      <c r="Y42" s="826"/>
      <c r="Z42" s="798"/>
      <c r="AA42" s="1082"/>
      <c r="AB42" s="1039" t="s">
        <v>95</v>
      </c>
      <c r="AC42" s="830"/>
      <c r="AD42" s="828"/>
      <c r="AE42" s="829"/>
      <c r="AF42" s="830"/>
      <c r="AG42" s="828"/>
      <c r="AH42" s="829"/>
      <c r="AI42" s="830"/>
      <c r="AJ42" s="828"/>
      <c r="AK42" s="829"/>
      <c r="AL42" s="830"/>
      <c r="AM42" s="828"/>
      <c r="AN42" s="831"/>
      <c r="AO42" s="832"/>
      <c r="AP42" s="828"/>
      <c r="AQ42" s="829"/>
      <c r="AR42" s="393"/>
      <c r="AS42" s="830"/>
      <c r="AT42" s="833"/>
      <c r="AU42" s="834"/>
      <c r="AV42" s="835"/>
      <c r="AW42" s="833"/>
      <c r="AX42" s="829"/>
      <c r="AY42" s="835"/>
      <c r="AZ42" s="833"/>
      <c r="BA42" s="834"/>
      <c r="BB42" s="835"/>
      <c r="BC42" s="833"/>
      <c r="BD42" s="834"/>
      <c r="BE42" s="835"/>
      <c r="BF42" s="833"/>
      <c r="BG42" s="836"/>
      <c r="BH42" s="837"/>
      <c r="BI42" s="834"/>
      <c r="BJ42" s="409"/>
      <c r="BK42" s="1082"/>
      <c r="BL42" s="389"/>
      <c r="BM42" s="389"/>
      <c r="BN42" s="838"/>
      <c r="BO42" s="839"/>
      <c r="BP42" s="389"/>
      <c r="BQ42" s="389"/>
      <c r="BR42" s="389"/>
      <c r="BS42" s="832"/>
      <c r="BT42" s="821"/>
    </row>
    <row r="43" spans="1:73">
      <c r="A43" s="1093"/>
      <c r="B43" s="1103"/>
      <c r="C43" s="1103"/>
      <c r="D43" s="1035"/>
      <c r="E43" s="1036"/>
      <c r="F43" s="1036"/>
      <c r="G43" s="1037"/>
      <c r="H43" s="761"/>
      <c r="I43" s="1097"/>
      <c r="J43" s="417"/>
      <c r="K43" s="389"/>
      <c r="L43" s="389"/>
      <c r="M43" s="390"/>
      <c r="N43" s="391"/>
      <c r="O43" s="391"/>
      <c r="P43" s="390"/>
      <c r="Q43" s="391"/>
      <c r="R43" s="391"/>
      <c r="S43" s="392"/>
      <c r="T43" s="391"/>
      <c r="U43" s="391"/>
      <c r="V43" s="389"/>
      <c r="W43" s="391"/>
      <c r="X43" s="825"/>
      <c r="Y43" s="826"/>
      <c r="Z43" s="798"/>
      <c r="AA43" s="1083"/>
      <c r="AB43" s="1039" t="s">
        <v>96</v>
      </c>
      <c r="AC43" s="830"/>
      <c r="AD43" s="828"/>
      <c r="AE43" s="829"/>
      <c r="AF43" s="830"/>
      <c r="AG43" s="828"/>
      <c r="AH43" s="829"/>
      <c r="AI43" s="830"/>
      <c r="AJ43" s="828"/>
      <c r="AK43" s="829"/>
      <c r="AL43" s="830"/>
      <c r="AM43" s="828"/>
      <c r="AN43" s="831"/>
      <c r="AO43" s="832"/>
      <c r="AP43" s="828"/>
      <c r="AQ43" s="829"/>
      <c r="AR43" s="393"/>
      <c r="AS43" s="830"/>
      <c r="AT43" s="833"/>
      <c r="AU43" s="834"/>
      <c r="AV43" s="835"/>
      <c r="AW43" s="833"/>
      <c r="AX43" s="829"/>
      <c r="AY43" s="835"/>
      <c r="AZ43" s="833"/>
      <c r="BA43" s="834"/>
      <c r="BB43" s="835"/>
      <c r="BC43" s="833"/>
      <c r="BD43" s="834"/>
      <c r="BE43" s="835"/>
      <c r="BF43" s="833"/>
      <c r="BG43" s="836"/>
      <c r="BH43" s="837"/>
      <c r="BI43" s="834"/>
      <c r="BJ43" s="409"/>
      <c r="BK43" s="1083"/>
      <c r="BL43" s="394"/>
      <c r="BM43" s="394"/>
      <c r="BN43" s="395"/>
      <c r="BO43" s="396"/>
      <c r="BP43" s="394"/>
      <c r="BQ43" s="394"/>
      <c r="BR43" s="394"/>
      <c r="BS43" s="397"/>
      <c r="BT43" s="821"/>
    </row>
    <row r="44" spans="1:73" s="544" customFormat="1" ht="16.5" customHeight="1" thickBot="1">
      <c r="A44" s="763"/>
      <c r="B44" s="764"/>
      <c r="C44" s="765"/>
      <c r="D44" s="766"/>
      <c r="E44" s="767"/>
      <c r="F44" s="768"/>
      <c r="G44" s="769"/>
      <c r="H44" s="762"/>
      <c r="I44" s="788"/>
      <c r="J44" s="1104"/>
      <c r="K44" s="1105"/>
      <c r="L44" s="1105"/>
      <c r="M44" s="1105"/>
      <c r="N44" s="1105"/>
      <c r="O44" s="1105"/>
      <c r="P44" s="1105"/>
      <c r="Q44" s="1105"/>
      <c r="R44" s="1105"/>
      <c r="S44" s="1105"/>
      <c r="T44" s="1105"/>
      <c r="U44" s="1105"/>
      <c r="V44" s="1105"/>
      <c r="W44" s="1105"/>
      <c r="X44" s="1105"/>
      <c r="Y44" s="1105"/>
      <c r="Z44" s="789"/>
      <c r="AA44" s="540"/>
      <c r="AB44" s="541"/>
      <c r="AC44" s="541"/>
      <c r="AD44" s="541"/>
      <c r="AE44" s="541"/>
      <c r="AF44" s="541"/>
      <c r="AG44" s="541"/>
      <c r="AH44" s="541"/>
      <c r="AI44" s="541"/>
      <c r="AJ44" s="541"/>
      <c r="AK44" s="541"/>
      <c r="AL44" s="541"/>
      <c r="AM44" s="541"/>
      <c r="AN44" s="541"/>
      <c r="AO44" s="541"/>
      <c r="AP44" s="541"/>
      <c r="AQ44" s="542"/>
      <c r="AR44" s="1162"/>
      <c r="AS44" s="1163"/>
      <c r="AT44" s="1163"/>
      <c r="AU44" s="1163"/>
      <c r="AV44" s="1163"/>
      <c r="AW44" s="1163"/>
      <c r="AX44" s="1163"/>
      <c r="AY44" s="1163"/>
      <c r="AZ44" s="1163"/>
      <c r="BA44" s="1163"/>
      <c r="BB44" s="1163"/>
      <c r="BC44" s="1163"/>
      <c r="BD44" s="1163"/>
      <c r="BE44" s="1163"/>
      <c r="BF44" s="1163"/>
      <c r="BG44" s="1163"/>
      <c r="BH44" s="1163"/>
      <c r="BI44" s="1163"/>
      <c r="BJ44" s="543"/>
      <c r="BK44" s="811"/>
      <c r="BL44" s="1164"/>
      <c r="BM44" s="1165"/>
      <c r="BN44" s="1165"/>
      <c r="BO44" s="1165"/>
      <c r="BP44" s="1165"/>
      <c r="BQ44" s="1165"/>
      <c r="BR44" s="1165"/>
      <c r="BS44" s="1165"/>
      <c r="BT44" s="812"/>
    </row>
    <row r="45" spans="1:73" s="551" customFormat="1" ht="12.75" customHeight="1" thickTop="1">
      <c r="A45" s="545"/>
      <c r="B45" s="545"/>
      <c r="C45" s="546"/>
      <c r="D45" s="547"/>
      <c r="E45" s="822"/>
      <c r="F45" s="823"/>
      <c r="G45" s="823"/>
      <c r="H45" s="548"/>
      <c r="I45" s="604"/>
      <c r="J45" s="940">
        <f>IF(COUNTIF(J$10:J37,TRUE)&gt;0,J$8,-0.000001)</f>
        <v>-9.9999999999999995E-7</v>
      </c>
      <c r="K45" s="635">
        <f>IF(COUNTIF(K$10:K37,TRUE)&gt;0,K$8,-0.000001)</f>
        <v>-9.9999999999999995E-7</v>
      </c>
      <c r="L45" s="635">
        <f>IF(COUNTIF(L$10:L38,TRUE)&gt;0,L$8,-0.000001)</f>
        <v>5</v>
      </c>
      <c r="M45" s="636">
        <f>IF(COUNTIF(M$10:M38,TRUE)&gt;0,M$8,-0.000001)</f>
        <v>-9.9999999999999995E-7</v>
      </c>
      <c r="N45" s="635">
        <f>IF(COUNTIF(N$10:N38,TRUE)&gt;0,N$8,-0.000001)</f>
        <v>-9.9999999999999995E-7</v>
      </c>
      <c r="O45" s="635">
        <f>IF(COUNTIF(O$10:O38,TRUE)&gt;0,O$8,-0.000001)</f>
        <v>-9.9999999999999995E-7</v>
      </c>
      <c r="P45" s="636">
        <f>IF(COUNTIF(P$10:P38,TRUE)&gt;0,P$8,-0.000001)</f>
        <v>-9.9999999999999995E-7</v>
      </c>
      <c r="Q45" s="635">
        <f>IF(COUNTIF(Q$10:Q38,TRUE)&gt;0,Q$8,-0.000001)</f>
        <v>-9.9999999999999995E-7</v>
      </c>
      <c r="R45" s="635">
        <f>IF(COUNTIF(R$10:R38,TRUE)&gt;0,R$8,-0.000001)</f>
        <v>-9.9999999999999995E-7</v>
      </c>
      <c r="S45" s="636">
        <f>IF(COUNTIF(S$10:S38,TRUE)&gt;0,S$8,-0.000001)</f>
        <v>-9.9999999999999995E-7</v>
      </c>
      <c r="T45" s="635">
        <f>IF(COUNTIF(T$10:T38,TRUE)&gt;0,T$8,-0.000001)</f>
        <v>-9.9999999999999995E-7</v>
      </c>
      <c r="U45" s="635">
        <f>IF(COUNTIF(U$10:U38,TRUE)&gt;0,U$8,-0.000001)</f>
        <v>-9.9999999999999995E-7</v>
      </c>
      <c r="V45" s="635">
        <f>IF(COUNTIF(V$10:V38,TRUE)&gt;0,V$8,-0.000001)</f>
        <v>-9.9999999999999995E-7</v>
      </c>
      <c r="W45" s="635">
        <f>IF(COUNTIF(W$10:W38,TRUE)&gt;0,W$8,-0.000001)</f>
        <v>-9.9999999999999995E-7</v>
      </c>
      <c r="X45" s="637"/>
      <c r="Y45" s="638"/>
      <c r="Z45" s="548"/>
      <c r="AA45" s="550"/>
      <c r="AB45" s="605"/>
      <c r="AC45" s="606">
        <f t="shared" ref="AC45:AQ45" si="21">COUNTIF(AC10:AC38,TRUE)</f>
        <v>0</v>
      </c>
      <c r="AD45" s="607">
        <f t="shared" si="21"/>
        <v>1</v>
      </c>
      <c r="AE45" s="608">
        <f t="shared" si="21"/>
        <v>1</v>
      </c>
      <c r="AF45" s="606">
        <f t="shared" si="21"/>
        <v>0</v>
      </c>
      <c r="AG45" s="607">
        <f t="shared" si="21"/>
        <v>0</v>
      </c>
      <c r="AH45" s="608">
        <f t="shared" si="21"/>
        <v>0</v>
      </c>
      <c r="AI45" s="606">
        <f t="shared" si="21"/>
        <v>0</v>
      </c>
      <c r="AJ45" s="607">
        <f t="shared" si="21"/>
        <v>0</v>
      </c>
      <c r="AK45" s="608">
        <f t="shared" si="21"/>
        <v>0</v>
      </c>
      <c r="AL45" s="606">
        <f t="shared" si="21"/>
        <v>0</v>
      </c>
      <c r="AM45" s="607">
        <f t="shared" si="21"/>
        <v>0</v>
      </c>
      <c r="AN45" s="609">
        <f t="shared" si="21"/>
        <v>0</v>
      </c>
      <c r="AO45" s="610">
        <f t="shared" si="21"/>
        <v>0</v>
      </c>
      <c r="AP45" s="610">
        <f t="shared" si="21"/>
        <v>0</v>
      </c>
      <c r="AQ45" s="610">
        <f t="shared" si="21"/>
        <v>0</v>
      </c>
      <c r="AR45" s="611"/>
      <c r="AS45" s="612"/>
      <c r="AT45" s="613"/>
      <c r="AU45" s="614"/>
      <c r="AV45" s="612"/>
      <c r="AW45" s="613"/>
      <c r="AX45" s="614"/>
      <c r="AY45" s="612"/>
      <c r="AZ45" s="613"/>
      <c r="BA45" s="614"/>
      <c r="BB45" s="612"/>
      <c r="BC45" s="613"/>
      <c r="BD45" s="614"/>
      <c r="BE45" s="612"/>
      <c r="BF45" s="613"/>
      <c r="BG45" s="615"/>
      <c r="BH45" s="616"/>
      <c r="BI45" s="614"/>
      <c r="BJ45" s="552"/>
      <c r="BK45" s="604"/>
      <c r="BL45" s="624"/>
      <c r="BM45" s="624"/>
      <c r="BN45" s="625"/>
      <c r="BO45" s="626"/>
      <c r="BP45" s="624"/>
      <c r="BQ45" s="624"/>
      <c r="BR45" s="624"/>
      <c r="BS45" s="627"/>
      <c r="BT45" s="548"/>
    </row>
    <row r="46" spans="1:73" s="553" customFormat="1" ht="45">
      <c r="A46" s="456"/>
      <c r="B46" s="456"/>
      <c r="C46" s="456"/>
      <c r="D46" s="547"/>
      <c r="E46" s="545"/>
      <c r="F46" s="456"/>
      <c r="G46" s="456"/>
      <c r="H46" s="548"/>
      <c r="I46" s="549"/>
      <c r="J46" s="634"/>
      <c r="K46" s="639" t="str">
        <f t="shared" ref="K46" si="22">MID(K4,1,IF(ISERROR(FIND("-",K4)),99,FIND("-",K4)-1))</f>
        <v>Regio</v>
      </c>
      <c r="L46" s="639" t="str">
        <f>MID(L4,1,IF(ISERROR(FIND("-",L4)),99,FIND("-",L4)-1))</f>
        <v>PKW</v>
      </c>
      <c r="M46" s="640" t="str">
        <f t="shared" ref="M46:W46" si="23">MID(M4,1,IF(ISERROR(FIND("-",M4)),99,FIND("-",M4)-1))</f>
        <v>PKW</v>
      </c>
      <c r="N46" s="639" t="str">
        <f t="shared" si="23"/>
        <v>PKW</v>
      </c>
      <c r="O46" s="639" t="str">
        <f t="shared" si="23"/>
        <v>PKW</v>
      </c>
      <c r="P46" s="640" t="str">
        <f t="shared" si="23"/>
        <v>PKW</v>
      </c>
      <c r="Q46" s="639" t="str">
        <f t="shared" si="23"/>
        <v>ÖPNV</v>
      </c>
      <c r="R46" s="639" t="str">
        <f t="shared" si="23"/>
        <v>PKW</v>
      </c>
      <c r="S46" s="640" t="str">
        <f t="shared" si="23"/>
        <v>PKW</v>
      </c>
      <c r="T46" s="639" t="str">
        <f t="shared" si="23"/>
        <v>PKW</v>
      </c>
      <c r="U46" s="639" t="str">
        <f t="shared" si="23"/>
        <v>PKW</v>
      </c>
      <c r="V46" s="641" t="str">
        <f t="shared" si="23"/>
        <v>Sonst</v>
      </c>
      <c r="W46" s="642" t="str">
        <f t="shared" si="23"/>
        <v>ohne</v>
      </c>
      <c r="X46" s="637"/>
      <c r="Y46" s="638"/>
      <c r="Z46" s="548"/>
      <c r="AA46" s="554"/>
      <c r="AB46" s="617"/>
      <c r="AC46" s="618"/>
      <c r="AD46" s="619"/>
      <c r="AE46" s="620"/>
      <c r="AF46" s="618"/>
      <c r="AG46" s="619"/>
      <c r="AH46" s="620"/>
      <c r="AI46" s="618"/>
      <c r="AJ46" s="619"/>
      <c r="AK46" s="620"/>
      <c r="AL46" s="618"/>
      <c r="AM46" s="619"/>
      <c r="AN46" s="621"/>
      <c r="AO46" s="617"/>
      <c r="AP46" s="619"/>
      <c r="AQ46" s="620"/>
      <c r="AR46" s="622"/>
      <c r="AS46" s="618"/>
      <c r="AT46" s="619"/>
      <c r="AU46" s="620"/>
      <c r="AV46" s="618"/>
      <c r="AW46" s="619"/>
      <c r="AX46" s="620"/>
      <c r="AY46" s="618"/>
      <c r="AZ46" s="619"/>
      <c r="BA46" s="620"/>
      <c r="BB46" s="618"/>
      <c r="BC46" s="619"/>
      <c r="BD46" s="620"/>
      <c r="BE46" s="618"/>
      <c r="BF46" s="619"/>
      <c r="BG46" s="621"/>
      <c r="BH46" s="623"/>
      <c r="BI46" s="620"/>
      <c r="BJ46" s="555"/>
      <c r="BK46" s="549"/>
      <c r="BL46" s="624"/>
      <c r="BM46" s="624"/>
      <c r="BN46" s="625"/>
      <c r="BO46" s="626"/>
      <c r="BP46" s="624"/>
      <c r="BQ46" s="624"/>
      <c r="BR46" s="624"/>
      <c r="BS46" s="627"/>
      <c r="BT46" s="548"/>
    </row>
    <row r="47" spans="1:73" ht="12.75" customHeight="1">
      <c r="D47" s="547"/>
      <c r="E47" s="545"/>
    </row>
  </sheetData>
  <sheetProtection algorithmName="SHA-512" hashValue="2PPS4ZsOITiPPAB8vaD3ZmDl7xKzWB+rB7Y31zHs1pLOqtwR1U+lIpy6aerUvm/98PDu1NeFsDJkFFZ1e6xWLw==" saltValue="/m3UoL1+xSd2b/f8YiFEXQ==" spinCount="100000" sheet="1" formatCells="0" formatColumns="0" formatRows="0"/>
  <mergeCells count="88">
    <mergeCell ref="AR44:BI44"/>
    <mergeCell ref="BL44:BS44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BF3:BF5"/>
    <mergeCell ref="A1:B1"/>
    <mergeCell ref="AR1:BI1"/>
    <mergeCell ref="AC2:AC3"/>
    <mergeCell ref="AD2:AD3"/>
    <mergeCell ref="AV3:AV5"/>
    <mergeCell ref="AW3:AW5"/>
    <mergeCell ref="AX3:AX5"/>
    <mergeCell ref="AY3:AY5"/>
    <mergeCell ref="BE3:BE5"/>
    <mergeCell ref="AR2:BI2"/>
    <mergeCell ref="C1:D1"/>
    <mergeCell ref="K2:K3"/>
    <mergeCell ref="L2:L3"/>
    <mergeCell ref="M2:M3"/>
    <mergeCell ref="N2:N3"/>
    <mergeCell ref="O2:O3"/>
    <mergeCell ref="BS5:BS6"/>
    <mergeCell ref="AR3:AR5"/>
    <mergeCell ref="AS3:AS5"/>
    <mergeCell ref="AT3:AT5"/>
    <mergeCell ref="AU3:AU5"/>
    <mergeCell ref="BG3:BG5"/>
    <mergeCell ref="AZ3:AZ5"/>
    <mergeCell ref="BA3:BA5"/>
    <mergeCell ref="BB3:BB5"/>
    <mergeCell ref="BR2:BR3"/>
    <mergeCell ref="BC3:BC5"/>
    <mergeCell ref="BD3:BD5"/>
    <mergeCell ref="BS2:BS3"/>
    <mergeCell ref="BO4:BO6"/>
    <mergeCell ref="BP4:BP6"/>
    <mergeCell ref="BQ4:BQ6"/>
    <mergeCell ref="J44:Y44"/>
    <mergeCell ref="B3:C3"/>
    <mergeCell ref="B4:C4"/>
    <mergeCell ref="B42:C42"/>
    <mergeCell ref="B39:C39"/>
    <mergeCell ref="B40:C40"/>
    <mergeCell ref="B41:C41"/>
    <mergeCell ref="P2:P3"/>
    <mergeCell ref="Q2:Q3"/>
    <mergeCell ref="R2:R3"/>
    <mergeCell ref="S2:S3"/>
    <mergeCell ref="T2:T3"/>
    <mergeCell ref="U2:U3"/>
    <mergeCell ref="V2:V3"/>
    <mergeCell ref="W2:W3"/>
    <mergeCell ref="A39:A43"/>
    <mergeCell ref="AA39:AA43"/>
    <mergeCell ref="I39:I43"/>
    <mergeCell ref="A2:B2"/>
    <mergeCell ref="X7:Y7"/>
    <mergeCell ref="X8:Y8"/>
    <mergeCell ref="F2:G8"/>
    <mergeCell ref="B43:C43"/>
    <mergeCell ref="BK39:BK43"/>
    <mergeCell ref="F40:G40"/>
    <mergeCell ref="F42:G42"/>
    <mergeCell ref="F39:G39"/>
    <mergeCell ref="F41:G41"/>
    <mergeCell ref="AB2:AB3"/>
    <mergeCell ref="J2:J3"/>
    <mergeCell ref="BL4:BL6"/>
    <mergeCell ref="BM4:BM6"/>
    <mergeCell ref="BN4:BN6"/>
    <mergeCell ref="BR4:BR6"/>
    <mergeCell ref="BL2:BL3"/>
    <mergeCell ref="BM2:BM3"/>
    <mergeCell ref="BN2:BN3"/>
    <mergeCell ref="BO2:BO3"/>
    <mergeCell ref="BP2:BP3"/>
    <mergeCell ref="BQ2:BQ3"/>
  </mergeCells>
  <conditionalFormatting sqref="A3">
    <cfRule type="expression" dxfId="93" priority="15">
      <formula>AnzTeiln&gt;AnzMax</formula>
    </cfRule>
  </conditionalFormatting>
  <conditionalFormatting sqref="A4">
    <cfRule type="expression" dxfId="92" priority="313">
      <formula>$A$9&lt;$A$4</formula>
    </cfRule>
  </conditionalFormatting>
  <conditionalFormatting sqref="A10:C37">
    <cfRule type="expression" dxfId="91" priority="33">
      <formula>AND($A10,A10="")</formula>
    </cfRule>
  </conditionalFormatting>
  <conditionalFormatting sqref="B10:D37">
    <cfRule type="expression" dxfId="90" priority="17">
      <formula>$A10=FALSE</formula>
    </cfRule>
  </conditionalFormatting>
  <conditionalFormatting sqref="D2">
    <cfRule type="cellIs" dxfId="89" priority="37" operator="between">
      <formula>500</formula>
      <formula>1000</formula>
    </cfRule>
    <cfRule type="cellIs" dxfId="88" priority="38" operator="between">
      <formula>1000</formula>
      <formula>2000</formula>
    </cfRule>
    <cfRule type="cellIs" dxfId="87" priority="39" operator="greaterThan">
      <formula>2000</formula>
    </cfRule>
  </conditionalFormatting>
  <conditionalFormatting sqref="D3">
    <cfRule type="cellIs" dxfId="86" priority="102" operator="lessThan">
      <formula>18</formula>
    </cfRule>
    <cfRule type="cellIs" dxfId="85" priority="103" operator="between">
      <formula>18</formula>
      <formula>27</formula>
    </cfRule>
    <cfRule type="cellIs" dxfId="84" priority="104" operator="between">
      <formula>27</formula>
      <formula>36</formula>
    </cfRule>
    <cfRule type="cellIs" dxfId="83" priority="105" operator="greaterThan">
      <formula>36</formula>
    </cfRule>
  </conditionalFormatting>
  <conditionalFormatting sqref="D40:D42">
    <cfRule type="expression" dxfId="82" priority="2">
      <formula>AND(NOW() &gt; D40,E40=FALSE)</formula>
    </cfRule>
  </conditionalFormatting>
  <conditionalFormatting sqref="D44">
    <cfRule type="cellIs" dxfId="81" priority="20" operator="between">
      <formula>500</formula>
      <formula>1000</formula>
    </cfRule>
    <cfRule type="cellIs" dxfId="80" priority="21" operator="between">
      <formula>1000</formula>
      <formula>2000</formula>
    </cfRule>
    <cfRule type="cellIs" dxfId="79" priority="22" operator="greaterThan">
      <formula>2000</formula>
    </cfRule>
  </conditionalFormatting>
  <conditionalFormatting sqref="E10:E37">
    <cfRule type="expression" dxfId="78" priority="13">
      <formula>AND($A10=FALSE,E10=TRUE)</formula>
    </cfRule>
    <cfRule type="expression" dxfId="77" priority="40">
      <formula>AND($A10,E10="")</formula>
    </cfRule>
  </conditionalFormatting>
  <conditionalFormatting sqref="J9">
    <cfRule type="notContainsBlanks" dxfId="76" priority="261">
      <formula>LEN(TRIM(J9))&gt;0</formula>
    </cfRule>
  </conditionalFormatting>
  <conditionalFormatting sqref="J10:J37">
    <cfRule type="expression" dxfId="75" priority="1">
      <formula>AND($A10=TRUE,J10=0)</formula>
    </cfRule>
  </conditionalFormatting>
  <conditionalFormatting sqref="J9:V9">
    <cfRule type="cellIs" dxfId="74" priority="222" operator="greaterThan">
      <formula>0</formula>
    </cfRule>
    <cfRule type="cellIs" dxfId="73" priority="241" operator="lessThan">
      <formula>0</formula>
    </cfRule>
  </conditionalFormatting>
  <conditionalFormatting sqref="K8:W8">
    <cfRule type="cellIs" dxfId="72" priority="93" operator="equal">
      <formula>K$45</formula>
    </cfRule>
  </conditionalFormatting>
  <conditionalFormatting sqref="K10:W37">
    <cfRule type="expression" dxfId="71" priority="262">
      <formula>AND($A10="",K10&lt;&gt;"")</formula>
    </cfRule>
  </conditionalFormatting>
  <conditionalFormatting sqref="K39:W43 AC40:AQ43">
    <cfRule type="cellIs" dxfId="70" priority="5" operator="greaterThan">
      <formula>0</formula>
    </cfRule>
  </conditionalFormatting>
  <conditionalFormatting sqref="K45:W45 AC45:AQ45">
    <cfRule type="cellIs" dxfId="69" priority="71" operator="greaterThan">
      <formula>0</formula>
    </cfRule>
  </conditionalFormatting>
  <conditionalFormatting sqref="K7:X7">
    <cfRule type="cellIs" dxfId="68" priority="53" operator="lessThanOrEqual">
      <formula>45</formula>
    </cfRule>
    <cfRule type="cellIs" dxfId="67" priority="54" operator="between">
      <formula>45</formula>
      <formula>67.5</formula>
    </cfRule>
    <cfRule type="cellIs" dxfId="66" priority="55" operator="between">
      <formula>67.5</formula>
      <formula>90</formula>
    </cfRule>
    <cfRule type="cellIs" dxfId="65" priority="56" operator="greaterThan">
      <formula>90</formula>
    </cfRule>
  </conditionalFormatting>
  <conditionalFormatting sqref="X8">
    <cfRule type="cellIs" dxfId="64" priority="49" operator="lessThanOrEqual">
      <formula>0.5</formula>
    </cfRule>
    <cfRule type="cellIs" dxfId="63" priority="50" operator="between">
      <formula>0.5</formula>
      <formula>0.66</formula>
    </cfRule>
    <cfRule type="cellIs" dxfId="62" priority="51" operator="between">
      <formula>0.66</formula>
      <formula>0.75</formula>
    </cfRule>
    <cfRule type="cellIs" dxfId="61" priority="52" operator="greaterThanOrEqual">
      <formula>0.75</formula>
    </cfRule>
  </conditionalFormatting>
  <conditionalFormatting sqref="Y4">
    <cfRule type="cellIs" dxfId="60" priority="45" operator="lessThan">
      <formula>5.9</formula>
    </cfRule>
    <cfRule type="cellIs" dxfId="59" priority="46" operator="between">
      <formula>5.9</formula>
      <formula>8.9</formula>
    </cfRule>
    <cfRule type="cellIs" dxfId="58" priority="47" operator="between">
      <formula>8.9</formula>
      <formula>11.8</formula>
    </cfRule>
    <cfRule type="cellIs" dxfId="57" priority="48" operator="greaterThan">
      <formula>11.8</formula>
    </cfRule>
  </conditionalFormatting>
  <conditionalFormatting sqref="AC4:AQ4">
    <cfRule type="expression" dxfId="56" priority="312">
      <formula>AND(AC$45&lt;&gt;0,AC$4="")</formula>
    </cfRule>
  </conditionalFormatting>
  <conditionalFormatting sqref="AC9:AQ9">
    <cfRule type="cellIs" dxfId="55" priority="130" operator="greaterThan">
      <formula>0</formula>
    </cfRule>
    <cfRule type="cellIs" dxfId="54" priority="131" operator="lessThan">
      <formula>0</formula>
    </cfRule>
  </conditionalFormatting>
  <conditionalFormatting sqref="AC10:AQ37 AS10:BG37">
    <cfRule type="expression" dxfId="53" priority="61">
      <formula>AND($A10=FALSE,AC10=TRUE)</formula>
    </cfRule>
  </conditionalFormatting>
  <conditionalFormatting sqref="AC10:AQ37">
    <cfRule type="expression" dxfId="52" priority="90">
      <formula>OR(AC10=TRUE,AB10=TRUE)</formula>
    </cfRule>
  </conditionalFormatting>
  <conditionalFormatting sqref="AD6:AQ8">
    <cfRule type="expression" dxfId="51" priority="82">
      <formula>OR(AD$8&gt;0,AC$8&gt;0)</formula>
    </cfRule>
  </conditionalFormatting>
  <conditionalFormatting sqref="AD39:AQ39">
    <cfRule type="cellIs" dxfId="50" priority="7" operator="greaterThan">
      <formula>0</formula>
    </cfRule>
  </conditionalFormatting>
  <conditionalFormatting sqref="AI6:AI8">
    <cfRule type="expression" dxfId="49" priority="266">
      <formula>OR(AI$8&gt;0,AF$8&gt;0)</formula>
    </cfRule>
  </conditionalFormatting>
  <conditionalFormatting sqref="AR9">
    <cfRule type="cellIs" dxfId="48" priority="232" operator="notEqual">
      <formula>0</formula>
    </cfRule>
  </conditionalFormatting>
  <conditionalFormatting sqref="AR10:AR37 J10:J37">
    <cfRule type="expression" dxfId="47" priority="173">
      <formula>AND($A10=FALSE,J10&gt;0)</formula>
    </cfRule>
    <cfRule type="cellIs" dxfId="46" priority="174" operator="between">
      <formula>2</formula>
      <formula>9</formula>
    </cfRule>
  </conditionalFormatting>
  <conditionalFormatting sqref="AR10:AR37">
    <cfRule type="expression" dxfId="45" priority="14">
      <formula>AND($A10=TRUE,AR10=0,$D$5&gt;1)</formula>
    </cfRule>
  </conditionalFormatting>
  <conditionalFormatting sqref="AR39:AR43">
    <cfRule type="cellIs" dxfId="44" priority="223" operator="greaterThan">
      <formula>0</formula>
    </cfRule>
  </conditionalFormatting>
  <conditionalFormatting sqref="AS8:BG8">
    <cfRule type="cellIs" dxfId="43" priority="92" operator="greaterThan">
      <formula>0</formula>
    </cfRule>
  </conditionalFormatting>
  <conditionalFormatting sqref="AS9:BG9">
    <cfRule type="cellIs" dxfId="42" priority="29" operator="greaterThan">
      <formula>0</formula>
    </cfRule>
    <cfRule type="cellIs" dxfId="41" priority="30" operator="lessThan">
      <formula>0</formula>
    </cfRule>
  </conditionalFormatting>
  <conditionalFormatting sqref="AS39:BG43">
    <cfRule type="cellIs" dxfId="40" priority="6" operator="greaterThan">
      <formula>0</formula>
    </cfRule>
  </conditionalFormatting>
  <conditionalFormatting sqref="BH10:BH37">
    <cfRule type="expression" dxfId="39" priority="34">
      <formula>AND($A10=FALSE,BH10&lt;&gt;"",Dauer&gt;1)</formula>
    </cfRule>
    <cfRule type="expression" dxfId="38" priority="70">
      <formula>AND($A10=TRUE,BH10="",Dauer&gt;1)</formula>
    </cfRule>
  </conditionalFormatting>
  <conditionalFormatting sqref="BI4">
    <cfRule type="cellIs" dxfId="37" priority="41" operator="lessThan">
      <formula>12</formula>
    </cfRule>
    <cfRule type="cellIs" dxfId="36" priority="42" operator="between">
      <formula>12</formula>
      <formula>18</formula>
    </cfRule>
    <cfRule type="cellIs" dxfId="35" priority="43" operator="between">
      <formula>18</formula>
      <formula>24</formula>
    </cfRule>
    <cfRule type="cellIs" dxfId="34" priority="44" operator="greaterThan">
      <formula>24</formula>
    </cfRule>
  </conditionalFormatting>
  <conditionalFormatting sqref="BI9 BL9:BR9">
    <cfRule type="cellIs" dxfId="33" priority="119" operator="lessThan">
      <formula>0</formula>
    </cfRule>
  </conditionalFormatting>
  <conditionalFormatting sqref="BI9">
    <cfRule type="cellIs" dxfId="32" priority="118" operator="greaterThan">
      <formula>0</formula>
    </cfRule>
  </conditionalFormatting>
  <conditionalFormatting sqref="BI22:BI25 BI30:BI33">
    <cfRule type="containsText" dxfId="31" priority="180" operator="containsText" text="vege">
      <formula>NOT(ISERROR(SEARCH(("vege"),(BI22))))</formula>
    </cfRule>
    <cfRule type="containsText" dxfId="30" priority="184" operator="containsText" text="vegan">
      <formula>NOT(ISERROR(SEARCH(("vegan"),(BI22))))</formula>
    </cfRule>
    <cfRule type="containsText" dxfId="29" priority="187" operator="containsText" text="fleisch">
      <formula>NOT(ISERROR(SEARCH(("fleisch"),(BI22))))</formula>
    </cfRule>
  </conditionalFormatting>
  <conditionalFormatting sqref="BL10:BR37">
    <cfRule type="expression" dxfId="28" priority="148">
      <formula>AND($A10=FALSE,BL10&lt;&gt;"")</formula>
    </cfRule>
    <cfRule type="cellIs" dxfId="27" priority="183" operator="lessThan">
      <formula>0</formula>
    </cfRule>
  </conditionalFormatting>
  <dataValidations xWindow="485" yWindow="312" count="18">
    <dataValidation type="list" allowBlank="1" showInputMessage="1" showErrorMessage="1" promptTitle="Ziel-Land" prompt="Ende der Tour" sqref="C6" xr:uid="{041EEC57-C70A-4BFA-AFAD-F5260BD0DA18}">
      <formula1>Länder</formula1>
    </dataValidation>
    <dataValidation type="list" allowBlank="1" showErrorMessage="1" sqref="C1:D1" xr:uid="{E509F6C6-F389-4713-BD3F-29A75DD2E1DA}">
      <formula1>Liste_Sektionen</formula1>
    </dataValidation>
    <dataValidation type="list" errorStyle="warning" allowBlank="1" showInputMessage="1" showErrorMessage="1" errorTitle="?" error="Start vor oder nach 13 Uhr?" promptTitle="Start vor oder nach 13 Uhr" prompt="p.m.: keine Teilnahmegebühr für Anreisetag_x000a_" sqref="A5" xr:uid="{BCF0B01D-EA3C-4040-8F63-83C5ED1E265C}">
      <formula1>Liste_Startzeit</formula1>
    </dataValidation>
    <dataValidation type="list" allowBlank="1" showInputMessage="1" showErrorMessage="1" promptTitle="Transportmittel" prompt="Abk. DAV-Erfassung" sqref="K4:V4" xr:uid="{D423F75D-9865-4CE1-8270-C04075F29B13}">
      <formula1>Liste_TransportDAV1</formula1>
    </dataValidation>
    <dataValidation allowBlank="1" showInputMessage="1" showErrorMessage="1" promptTitle="KurzTitel der Tour" prompt="ID" sqref="B3" xr:uid="{B0E7C16B-392C-465F-9E0B-8A6AA9376D49}"/>
    <dataValidation allowBlank="1" showInputMessage="1" showErrorMessage="1" promptTitle="Buchungscode" prompt="DAV Altdorf" sqref="C2" xr:uid="{F5FE8D51-BD0A-4A35-9725-84CD2ECF8CE7}"/>
    <dataValidation allowBlank="1" showInputMessage="1" showErrorMessage="1" promptTitle="Start" prompt="Datum" sqref="B5" xr:uid="{07614AF6-5F0F-49CD-997F-500856A0653C}"/>
    <dataValidation allowBlank="1" showInputMessage="1" showErrorMessage="1" promptTitle="Ende" prompt="Datum" sqref="C5" xr:uid="{773ED4A5-AF04-4D81-9998-947A5AF67392}"/>
    <dataValidation type="list" allowBlank="1" showInputMessage="1" showErrorMessage="1" promptTitle="Start-Land" prompt="aus DAV Erfassung 9/2024" sqref="B6" xr:uid="{22E83855-8020-4E39-8B14-4D142D5FED98}">
      <formula1>Länder</formula1>
    </dataValidation>
    <dataValidation allowBlank="1" showInputMessage="1" showErrorMessage="1" promptTitle="Start" prompt="Ort" sqref="B7" xr:uid="{CC8FC057-3125-4300-B1C9-B98C5DC8E2BC}"/>
    <dataValidation allowBlank="1" showInputMessage="1" showErrorMessage="1" promptTitle="Ziel-Ort" prompt="Ende der Tour" sqref="C7" xr:uid="{965252CF-1DDE-4152-9914-14E688D4F4E8}"/>
    <dataValidation allowBlank="1" showInputMessage="1" showErrorMessage="1" promptTitle="km" prompt="Summe für An und Abreise_x000a_(Durchschnitt pro Person)" sqref="D6" xr:uid="{3EACDB8B-33D1-4D9E-A0C1-EDF8C8988A2D}"/>
    <dataValidation allowBlank="1" showInputMessage="1" showErrorMessage="1" promptTitle="km " prompt="zwischen ZielOrt und StartOrt bei Durchquerungen_x000a_(Durchschnitt pro Person)" sqref="D7" xr:uid="{03508710-878A-4F48-8A6A-10BFD30632F7}"/>
    <dataValidation allowBlank="1" showInputMessage="1" showErrorMessage="1" promptTitle="km" prompt="vor Ort gefahren (Durchschnitt pro Person)" sqref="D8" xr:uid="{AAACF9B3-5FFA-44E6-B6E7-C438907F8820}"/>
    <dataValidation allowBlank="1" showInputMessage="1" showErrorMessage="1" promptTitle="Max. Anzahl Teilnehmende" prompt="aus Ausschreibung" sqref="A3" xr:uid="{C5B829C5-76F6-44CA-A8F8-EBD1B908F365}"/>
    <dataValidation type="list" allowBlank="1" showInputMessage="1" showErrorMessage="1" promptTitle="Sportart" prompt="lt. CodeGaia" sqref="B4:C4" xr:uid="{CA9525E3-1FB0-48EE-8C53-1C3749E00F80}">
      <formula1>Sportarten</formula1>
    </dataValidation>
    <dataValidation allowBlank="1" showInputMessage="1" showErrorMessage="1" promptTitle="Mindestteilnehmerzahl" sqref="A4" xr:uid="{25C7501C-92F1-4D47-9D06-85D21B577980}"/>
    <dataValidation allowBlank="1" showInputMessage="1" showErrorMessage="1" promptTitle="Lift-Benutzung" prompt="Anzahl Fahrten pro Person" sqref="C8" xr:uid="{67FBBEA7-26B5-4215-8C6A-435B2B0B382B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tToWidth="0" orientation="landscape" r:id="rId1"/>
  <colBreaks count="1" manualBreakCount="1">
    <brk id="26" max="31" man="1"/>
  </colBreaks>
  <ignoredErrors>
    <ignoredError sqref="AR9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485" yWindow="312" count="7">
        <x14:dataValidation type="list" allowBlank="1" showInputMessage="1" showErrorMessage="1" promptTitle="Unterkunftstyp" prompt="Abk. DAV-Erfassung" xr:uid="{4F00096B-8FCD-4FF6-A04B-B2D5C5C59059}">
          <x14:formula1>
            <xm:f>HilfeListe!$O$16:$O$36</xm:f>
          </x14:formula1>
          <xm:sqref>AC4:AQ4</xm:sqref>
        </x14:dataValidation>
        <x14:dataValidation type="list" allowBlank="1" showInputMessage="1" showErrorMessage="1" xr:uid="{AEC1D8EC-485D-42C1-9922-F3310CC95F6C}">
          <x14:formula1>
            <xm:f>HilfeListe!$I$16:$I$27</xm:f>
          </x14:formula1>
          <xm:sqref>BH38</xm:sqref>
        </x14:dataValidation>
        <x14:dataValidation type="list" allowBlank="1" showInputMessage="1" showErrorMessage="1" xr:uid="{489ED36D-DED4-4A29-BE64-A98013029D7A}">
          <x14:formula1>
            <xm:f>HilfeListe!$D$15:$D$27</xm:f>
          </x14:formula1>
          <xm:sqref>E38</xm:sqref>
        </x14:dataValidation>
        <x14:dataValidation type="list" allowBlank="1" showInputMessage="1" showErrorMessage="1" promptTitle="Sportarten" prompt="aus DAV-Erfassung 5/2022" xr:uid="{BE58ED5F-626B-4D3A-9D3A-1C4691AED725}">
          <x14:formula1>
            <xm:f>HilfeListe!$L$15:$L$36</xm:f>
          </x14:formula1>
          <xm:sqref>B4</xm:sqref>
        </x14:dataValidation>
        <x14:dataValidation type="list" errorStyle="information" allowBlank="1" showInputMessage="1" xr:uid="{643274F5-D032-4D2B-9F65-0A60E10A7AB4}">
          <x14:formula1>
            <xm:f>HilfeListe!$AL$15:$AL$36</xm:f>
          </x14:formula1>
          <xm:sqref>D10:D37</xm:sqref>
        </x14:dataValidation>
        <x14:dataValidation type="list" errorStyle="warning" allowBlank="1" showInputMessage="1" showErrorMessage="1" xr:uid="{1E2E9326-5C7A-4614-9127-DC5F098E8A4A}">
          <x14:formula1>
            <xm:f>HilfeListe!$I$16:$I$27</xm:f>
          </x14:formula1>
          <xm:sqref>BH10:BH37</xm:sqref>
        </x14:dataValidation>
        <x14:dataValidation type="list" allowBlank="1" showInputMessage="1" showErrorMessage="1" xr:uid="{FF036B99-3727-4C6D-93D5-2285852E2096}">
          <x14:formula1>
            <xm:f>HilfeListe!$B$15:$B$36</xm:f>
          </x14:formula1>
          <xm:sqref>A2:B2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outlinePr summaryBelow="0" summaryRight="0"/>
  </sheetPr>
  <dimension ref="A1:AN288"/>
  <sheetViews>
    <sheetView zoomScaleNormal="100" workbookViewId="0">
      <selection activeCell="C12" sqref="C12"/>
    </sheetView>
  </sheetViews>
  <sheetFormatPr defaultColWidth="14.42578125" defaultRowHeight="12.75" customHeight="1"/>
  <cols>
    <col min="1" max="1" width="12.42578125" style="456" customWidth="1"/>
    <col min="2" max="2" width="16" style="456" customWidth="1"/>
    <col min="3" max="3" width="35.28515625" style="456" customWidth="1"/>
    <col min="4" max="7" width="7.5703125" style="456" customWidth="1"/>
    <col min="8" max="9" width="6.42578125" style="456" bestFit="1" customWidth="1"/>
    <col min="10" max="10" width="9.85546875" style="456" customWidth="1"/>
    <col min="11" max="11" width="17.28515625" style="456" customWidth="1"/>
    <col min="12" max="12" width="21.140625" style="456" customWidth="1"/>
    <col min="13" max="14" width="8.85546875" style="456" customWidth="1"/>
    <col min="15" max="15" width="6.85546875" style="456" customWidth="1"/>
    <col min="16" max="16" width="21.5703125" style="456" customWidth="1"/>
    <col min="17" max="17" width="7.28515625" style="456" customWidth="1"/>
    <col min="18" max="18" width="9.7109375" style="456" customWidth="1"/>
    <col min="19" max="19" width="9.85546875" style="456" bestFit="1" customWidth="1"/>
    <col min="20" max="20" width="5.85546875" style="456" customWidth="1"/>
    <col min="21" max="21" width="9.85546875" style="456" bestFit="1" customWidth="1"/>
    <col min="22" max="22" width="5.85546875" style="456" customWidth="1"/>
    <col min="23" max="23" width="25.28515625" style="456" customWidth="1"/>
    <col min="24" max="24" width="6.85546875" style="456" customWidth="1"/>
    <col min="25" max="25" width="8" style="456" customWidth="1"/>
    <col min="26" max="26" width="11.85546875" style="456" bestFit="1" customWidth="1"/>
    <col min="27" max="27" width="7.85546875" style="456" customWidth="1"/>
    <col min="28" max="28" width="4" style="456" bestFit="1" customWidth="1"/>
    <col min="29" max="29" width="4.7109375" style="456" customWidth="1"/>
    <col min="30" max="30" width="3" style="456" bestFit="1" customWidth="1"/>
    <col min="31" max="31" width="4" style="456" bestFit="1" customWidth="1"/>
    <col min="32" max="32" width="2.85546875" style="456" customWidth="1"/>
    <col min="33" max="33" width="3.140625" style="456" customWidth="1"/>
    <col min="34" max="34" width="29.28515625" style="456" customWidth="1"/>
    <col min="35" max="35" width="5.85546875" style="456" customWidth="1"/>
    <col min="36" max="36" width="7" style="456" bestFit="1" customWidth="1"/>
    <col min="37" max="37" width="3" style="456" customWidth="1"/>
    <col min="38" max="38" width="24.28515625" style="456" customWidth="1"/>
    <col min="39" max="40" width="8" style="456" bestFit="1" customWidth="1"/>
    <col min="41" max="16384" width="14.42578125" style="456"/>
  </cols>
  <sheetData>
    <row r="1" spans="1:40" ht="12.75" customHeight="1" thickBot="1">
      <c r="A1" s="1061" t="s">
        <v>97</v>
      </c>
      <c r="B1"/>
      <c r="C1" s="1062" t="s">
        <v>98</v>
      </c>
      <c r="D1"/>
      <c r="E1"/>
      <c r="F1"/>
      <c r="G1"/>
      <c r="H1"/>
      <c r="I1"/>
      <c r="J1"/>
      <c r="K1"/>
      <c r="L1"/>
      <c r="M1"/>
      <c r="N1"/>
      <c r="W1"/>
      <c r="X1"/>
      <c r="Y1"/>
    </row>
    <row r="2" spans="1:40" ht="12.75" customHeight="1" thickTop="1">
      <c r="A2" s="655" t="s">
        <v>99</v>
      </c>
      <c r="B2" s="656"/>
      <c r="C2" s="657"/>
      <c r="D2"/>
      <c r="E2" s="846" t="s">
        <v>100</v>
      </c>
      <c r="F2" s="656"/>
      <c r="G2" s="657"/>
      <c r="H2"/>
      <c r="I2"/>
      <c r="J2" s="658"/>
      <c r="K2" s="659" t="s">
        <v>101</v>
      </c>
      <c r="L2" s="656"/>
      <c r="M2" s="656"/>
      <c r="N2" s="657"/>
      <c r="W2"/>
    </row>
    <row r="3" spans="1:40" ht="12.75" customHeight="1">
      <c r="A3" s="660" t="s">
        <v>102</v>
      </c>
      <c r="B3" s="661" t="s">
        <v>103</v>
      </c>
      <c r="C3" s="662"/>
      <c r="D3"/>
      <c r="E3" s="848" t="s">
        <v>104</v>
      </c>
      <c r="F3" s="661" t="s">
        <v>105</v>
      </c>
      <c r="G3" s="662"/>
      <c r="H3"/>
      <c r="I3"/>
      <c r="J3" s="663"/>
      <c r="K3" s="664" t="s">
        <v>106</v>
      </c>
      <c r="L3" s="665" t="s">
        <v>107</v>
      </c>
      <c r="M3" s="665"/>
      <c r="N3" s="666"/>
      <c r="W3"/>
    </row>
    <row r="4" spans="1:40" ht="12.75" customHeight="1">
      <c r="A4" s="667" t="s">
        <v>108</v>
      </c>
      <c r="B4" s="661" t="s">
        <v>109</v>
      </c>
      <c r="C4" s="662"/>
      <c r="D4"/>
      <c r="E4" s="849" t="s">
        <v>110</v>
      </c>
      <c r="F4" s="661" t="s">
        <v>111</v>
      </c>
      <c r="G4" s="662"/>
      <c r="H4"/>
      <c r="I4"/>
      <c r="J4"/>
      <c r="K4" s="668" t="s">
        <v>112</v>
      </c>
      <c r="L4" s="665" t="s">
        <v>113</v>
      </c>
      <c r="M4" s="665"/>
      <c r="N4" s="666"/>
      <c r="W4"/>
    </row>
    <row r="5" spans="1:40" ht="12.75" customHeight="1">
      <c r="A5" s="669" t="s">
        <v>114</v>
      </c>
      <c r="B5" s="661" t="s">
        <v>115</v>
      </c>
      <c r="C5" s="662"/>
      <c r="D5"/>
      <c r="E5" s="850" t="s">
        <v>116</v>
      </c>
      <c r="F5" s="661" t="s">
        <v>117</v>
      </c>
      <c r="G5" s="662"/>
      <c r="H5"/>
      <c r="I5"/>
      <c r="J5"/>
      <c r="K5" s="670" t="s">
        <v>118</v>
      </c>
      <c r="L5" s="665" t="s">
        <v>119</v>
      </c>
      <c r="M5" s="671"/>
      <c r="N5" s="666"/>
      <c r="W5"/>
    </row>
    <row r="6" spans="1:40" ht="12.75" customHeight="1">
      <c r="A6" s="672" t="s">
        <v>120</v>
      </c>
      <c r="B6" s="852" t="s">
        <v>121</v>
      </c>
      <c r="C6" s="662"/>
      <c r="D6"/>
      <c r="E6" s="851" t="s">
        <v>122</v>
      </c>
      <c r="F6" s="661" t="s">
        <v>123</v>
      </c>
      <c r="G6" s="662"/>
      <c r="H6"/>
      <c r="I6"/>
      <c r="J6"/>
      <c r="K6" s="670" t="s">
        <v>124</v>
      </c>
      <c r="L6" s="665" t="s">
        <v>125</v>
      </c>
      <c r="M6" s="665"/>
      <c r="N6" s="666"/>
      <c r="W6"/>
    </row>
    <row r="7" spans="1:40" ht="12.75" customHeight="1">
      <c r="A7" s="673" t="s">
        <v>126</v>
      </c>
      <c r="B7" s="661" t="s">
        <v>127</v>
      </c>
      <c r="C7" s="662"/>
      <c r="D7"/>
      <c r="E7" s="660"/>
      <c r="F7" s="661"/>
      <c r="G7" s="662"/>
      <c r="H7"/>
      <c r="I7"/>
      <c r="J7"/>
      <c r="K7" s="674" t="s">
        <v>128</v>
      </c>
      <c r="L7" s="665" t="s">
        <v>129</v>
      </c>
      <c r="M7" s="665"/>
      <c r="N7" s="666"/>
      <c r="W7"/>
    </row>
    <row r="8" spans="1:40" ht="12.75" customHeight="1">
      <c r="A8" s="675" t="s">
        <v>130</v>
      </c>
      <c r="B8" s="661" t="s">
        <v>131</v>
      </c>
      <c r="C8" s="662"/>
      <c r="D8"/>
      <c r="E8" s="660"/>
      <c r="F8" s="661"/>
      <c r="G8" s="662"/>
      <c r="H8"/>
      <c r="I8"/>
      <c r="J8"/>
      <c r="K8" s="676"/>
      <c r="L8" s="665"/>
      <c r="M8" s="665"/>
      <c r="N8" s="666"/>
      <c r="W8"/>
    </row>
    <row r="9" spans="1:40" ht="12.75" customHeight="1">
      <c r="A9" s="853" t="s">
        <v>132</v>
      </c>
      <c r="B9" s="661" t="s">
        <v>133</v>
      </c>
      <c r="C9" s="662"/>
      <c r="D9"/>
      <c r="E9" s="660"/>
      <c r="F9" s="661"/>
      <c r="G9" s="662"/>
      <c r="H9"/>
      <c r="I9"/>
      <c r="J9"/>
      <c r="K9" s="676"/>
      <c r="L9" s="665"/>
      <c r="M9" s="665"/>
      <c r="N9" s="666"/>
      <c r="W9"/>
    </row>
    <row r="10" spans="1:40" ht="13.5" thickBot="1">
      <c r="A10" s="677" t="s">
        <v>134</v>
      </c>
      <c r="B10" s="678" t="s">
        <v>135</v>
      </c>
      <c r="C10" s="679"/>
      <c r="D10"/>
      <c r="E10" s="847"/>
      <c r="F10" s="678"/>
      <c r="G10" s="679"/>
      <c r="H10"/>
      <c r="I10"/>
      <c r="J10"/>
      <c r="K10" s="676"/>
      <c r="L10" s="665"/>
      <c r="M10" s="665"/>
      <c r="N10" s="666"/>
      <c r="W10"/>
    </row>
    <row r="11" spans="1:40" ht="12.75" customHeight="1" thickTop="1">
      <c r="A11"/>
      <c r="B11"/>
      <c r="C11"/>
      <c r="D11"/>
      <c r="E11"/>
      <c r="F11"/>
      <c r="G11"/>
      <c r="H11"/>
      <c r="I11"/>
      <c r="J11"/>
      <c r="K11" s="676"/>
      <c r="L11" s="665"/>
      <c r="M11" s="665"/>
      <c r="N11" s="666"/>
      <c r="W11"/>
    </row>
    <row r="12" spans="1:40" ht="12.75" customHeight="1" thickBot="1">
      <c r="A12"/>
      <c r="B12" s="663"/>
      <c r="C12" s="663" t="s">
        <v>136</v>
      </c>
      <c r="D12" s="680" t="s">
        <v>137</v>
      </c>
      <c r="E12"/>
      <c r="F12"/>
      <c r="G12"/>
      <c r="H12"/>
      <c r="I12"/>
      <c r="J12"/>
      <c r="K12" s="681"/>
      <c r="L12" s="682"/>
      <c r="M12" s="682"/>
      <c r="N12" s="683"/>
      <c r="W12"/>
    </row>
    <row r="13" spans="1:40" ht="12.75" customHeight="1" thickTop="1">
      <c r="A13"/>
      <c r="B13"/>
      <c r="C13"/>
      <c r="D13"/>
      <c r="E13"/>
      <c r="F13"/>
      <c r="G13"/>
      <c r="H13"/>
      <c r="I13"/>
      <c r="J13"/>
      <c r="K13" s="684"/>
      <c r="L13" s="684"/>
      <c r="M13" s="684"/>
      <c r="N13" s="684"/>
      <c r="W13"/>
      <c r="X13"/>
      <c r="Y13"/>
    </row>
    <row r="14" spans="1:40" s="551" customFormat="1" ht="12.75" customHeight="1">
      <c r="A14" s="685" t="s">
        <v>138</v>
      </c>
      <c r="B14" s="605"/>
      <c r="C14" s="605"/>
      <c r="D14" s="605"/>
      <c r="E14" s="605"/>
      <c r="F14" s="605"/>
      <c r="G14" s="605"/>
      <c r="H14" s="605"/>
      <c r="I14" s="605"/>
      <c r="J14" s="605"/>
      <c r="K14" s="605"/>
      <c r="L14" s="605"/>
      <c r="M14" s="605"/>
      <c r="N14" s="605"/>
      <c r="O14" s="605"/>
      <c r="P14" s="605"/>
      <c r="Q14" s="605"/>
      <c r="R14" s="605"/>
      <c r="S14" s="605"/>
      <c r="T14" s="605"/>
      <c r="U14" s="605"/>
      <c r="V14" s="605"/>
      <c r="W14" s="605"/>
      <c r="X14" s="605"/>
      <c r="Y14" s="605"/>
      <c r="Z14" s="605"/>
      <c r="AA14" s="605"/>
      <c r="AB14" s="605"/>
      <c r="AC14" s="605"/>
      <c r="AD14" s="605"/>
      <c r="AE14" s="605"/>
      <c r="AF14" s="605"/>
      <c r="AG14" s="605"/>
      <c r="AH14" s="605"/>
      <c r="AI14" s="605"/>
      <c r="AJ14" s="605"/>
      <c r="AK14" s="605"/>
      <c r="AL14" s="605"/>
      <c r="AM14" s="605"/>
      <c r="AN14" s="605"/>
    </row>
    <row r="15" spans="1:40" ht="38.25">
      <c r="A15" s="686" t="s">
        <v>139</v>
      </c>
      <c r="B15" s="686" t="s">
        <v>140</v>
      </c>
      <c r="C15" s="686" t="s">
        <v>141</v>
      </c>
      <c r="D15" s="687" t="s">
        <v>142</v>
      </c>
      <c r="E15" s="688" t="s">
        <v>143</v>
      </c>
      <c r="F15" s="687" t="s">
        <v>144</v>
      </c>
      <c r="G15" s="688" t="s">
        <v>143</v>
      </c>
      <c r="H15" s="686" t="s">
        <v>145</v>
      </c>
      <c r="I15" s="689" t="s">
        <v>42</v>
      </c>
      <c r="J15" s="688" t="s">
        <v>146</v>
      </c>
      <c r="K15" s="690" t="s">
        <v>147</v>
      </c>
      <c r="L15" s="691" t="s">
        <v>148</v>
      </c>
      <c r="M15" s="692" t="s">
        <v>149</v>
      </c>
      <c r="N15" s="692" t="s">
        <v>150</v>
      </c>
      <c r="O15" s="687" t="s">
        <v>151</v>
      </c>
      <c r="P15" s="695" t="s">
        <v>152</v>
      </c>
      <c r="Q15" s="695" t="s">
        <v>151</v>
      </c>
      <c r="R15" s="688" t="s">
        <v>153</v>
      </c>
      <c r="S15" s="689" t="s">
        <v>154</v>
      </c>
      <c r="T15" s="688" t="s">
        <v>155</v>
      </c>
      <c r="U15" s="689" t="s">
        <v>156</v>
      </c>
      <c r="V15" s="688" t="s">
        <v>157</v>
      </c>
      <c r="W15" s="693" t="s">
        <v>158</v>
      </c>
      <c r="X15" s="689" t="s">
        <v>159</v>
      </c>
      <c r="Y15" s="694" t="s">
        <v>160</v>
      </c>
      <c r="Z15" s="689" t="s">
        <v>161</v>
      </c>
      <c r="AA15" s="688" t="s">
        <v>162</v>
      </c>
      <c r="AB15" s="867" t="s">
        <v>163</v>
      </c>
      <c r="AC15" s="868" t="s">
        <v>164</v>
      </c>
      <c r="AD15" s="868"/>
      <c r="AE15" s="869"/>
      <c r="AF15" s="654"/>
      <c r="AG15" s="654"/>
      <c r="AH15" s="690" t="s">
        <v>165</v>
      </c>
      <c r="AI15" s="691" t="s">
        <v>166</v>
      </c>
      <c r="AJ15" s="692" t="s">
        <v>167</v>
      </c>
      <c r="AK15" s="654"/>
      <c r="AL15" s="687" t="s">
        <v>168</v>
      </c>
      <c r="AM15" s="743" t="s">
        <v>169</v>
      </c>
      <c r="AN15" s="688" t="s">
        <v>169</v>
      </c>
    </row>
    <row r="16" spans="1:40" s="648" customFormat="1" ht="12.75" customHeight="1">
      <c r="A16" s="696" t="s">
        <v>1</v>
      </c>
      <c r="B16" s="696" t="s">
        <v>139</v>
      </c>
      <c r="C16" s="697" t="s">
        <v>170</v>
      </c>
      <c r="D16" s="698">
        <v>1</v>
      </c>
      <c r="E16" s="699">
        <v>5</v>
      </c>
      <c r="F16" s="698">
        <v>1</v>
      </c>
      <c r="G16" s="699">
        <v>25</v>
      </c>
      <c r="H16" s="696" t="s">
        <v>171</v>
      </c>
      <c r="I16" s="700" t="s">
        <v>51</v>
      </c>
      <c r="J16" s="701">
        <v>1.27</v>
      </c>
      <c r="K16" s="702" t="s">
        <v>172</v>
      </c>
      <c r="L16" s="703" t="s">
        <v>173</v>
      </c>
      <c r="M16" s="704">
        <v>4</v>
      </c>
      <c r="N16" s="704">
        <v>6</v>
      </c>
      <c r="O16" s="708" t="s">
        <v>174</v>
      </c>
      <c r="P16" s="700" t="s">
        <v>175</v>
      </c>
      <c r="Q16" s="709" t="str">
        <f>O16</f>
        <v>Biw</v>
      </c>
      <c r="R16" s="701">
        <v>0</v>
      </c>
      <c r="S16" s="706" t="s">
        <v>176</v>
      </c>
      <c r="T16" s="710">
        <v>1</v>
      </c>
      <c r="U16" s="706" t="s">
        <v>177</v>
      </c>
      <c r="V16" s="710">
        <v>90</v>
      </c>
      <c r="W16" s="705" t="s">
        <v>178</v>
      </c>
      <c r="X16" s="706" t="s">
        <v>179</v>
      </c>
      <c r="Y16" s="707">
        <v>0.17899999999999999</v>
      </c>
      <c r="Z16" s="706" t="s">
        <v>23</v>
      </c>
      <c r="AA16" s="711">
        <v>2.65</v>
      </c>
      <c r="AB16" s="861">
        <v>379</v>
      </c>
      <c r="AC16" s="866">
        <f>Y$16*100/AA16</f>
        <v>6.7547169811320753</v>
      </c>
      <c r="AD16" s="712"/>
      <c r="AE16" s="713">
        <f t="shared" ref="AE16:AE21" si="0">$AB16/230/9.6*100/7.8</f>
        <v>2.2006224451876628</v>
      </c>
      <c r="AF16" s="714"/>
      <c r="AG16" s="714"/>
      <c r="AH16" s="702" t="s">
        <v>180</v>
      </c>
      <c r="AI16" s="703">
        <v>1</v>
      </c>
      <c r="AJ16" s="715" t="s">
        <v>181</v>
      </c>
      <c r="AK16" s="714"/>
      <c r="AL16" s="746" t="s">
        <v>76</v>
      </c>
      <c r="AM16" s="744" t="s">
        <v>179</v>
      </c>
      <c r="AN16" s="716">
        <v>0.15</v>
      </c>
    </row>
    <row r="17" spans="1:40" s="648" customFormat="1" ht="12.75" customHeight="1">
      <c r="A17" s="696"/>
      <c r="B17" s="696" t="s">
        <v>182</v>
      </c>
      <c r="C17" s="697" t="s">
        <v>183</v>
      </c>
      <c r="D17" s="698">
        <v>0</v>
      </c>
      <c r="E17" s="699">
        <v>20</v>
      </c>
      <c r="F17" s="698">
        <v>8</v>
      </c>
      <c r="G17" s="699">
        <v>50</v>
      </c>
      <c r="H17" s="696" t="s">
        <v>38</v>
      </c>
      <c r="I17" s="700" t="s">
        <v>57</v>
      </c>
      <c r="J17" s="701">
        <v>1.27</v>
      </c>
      <c r="K17" s="702" t="s">
        <v>184</v>
      </c>
      <c r="L17" s="703" t="s">
        <v>185</v>
      </c>
      <c r="M17" s="704">
        <v>6</v>
      </c>
      <c r="N17" s="704">
        <v>99</v>
      </c>
      <c r="O17" s="708" t="s">
        <v>186</v>
      </c>
      <c r="P17" s="700" t="s">
        <v>187</v>
      </c>
      <c r="Q17" s="709" t="str">
        <f t="shared" ref="Q17:Q23" si="1">O17</f>
        <v>Camp</v>
      </c>
      <c r="R17" s="701">
        <v>4.5</v>
      </c>
      <c r="S17" s="706"/>
      <c r="T17" s="710"/>
      <c r="U17" s="706" t="s">
        <v>188</v>
      </c>
      <c r="V17" s="710">
        <v>140</v>
      </c>
      <c r="W17" s="705" t="s">
        <v>189</v>
      </c>
      <c r="X17" s="706" t="s">
        <v>190</v>
      </c>
      <c r="Y17" s="707">
        <v>4.9000000000000002E-2</v>
      </c>
      <c r="Z17" s="706" t="s">
        <v>24</v>
      </c>
      <c r="AA17" s="711">
        <v>2.3199999999999998</v>
      </c>
      <c r="AB17" s="861">
        <v>350</v>
      </c>
      <c r="AC17" s="866">
        <f>Y$16*100/AA17</f>
        <v>7.7155172413793105</v>
      </c>
      <c r="AD17" s="712" t="s">
        <v>191</v>
      </c>
      <c r="AE17" s="713">
        <f t="shared" si="0"/>
        <v>2.0322370865849129</v>
      </c>
      <c r="AF17" s="714"/>
      <c r="AG17" s="714"/>
      <c r="AH17" s="702" t="s">
        <v>44</v>
      </c>
      <c r="AI17" s="703">
        <v>2</v>
      </c>
      <c r="AJ17" s="715" t="s">
        <v>192</v>
      </c>
      <c r="AK17" s="714"/>
      <c r="AL17" s="746" t="s">
        <v>193</v>
      </c>
      <c r="AM17" s="744" t="s">
        <v>194</v>
      </c>
      <c r="AN17" s="716">
        <v>0.2</v>
      </c>
    </row>
    <row r="18" spans="1:40" s="648" customFormat="1" ht="12.75" customHeight="1">
      <c r="A18" s="696"/>
      <c r="B18" s="696" t="s">
        <v>195</v>
      </c>
      <c r="C18" s="717" t="s">
        <v>196</v>
      </c>
      <c r="D18" s="698" t="s">
        <v>197</v>
      </c>
      <c r="E18" s="699">
        <v>10</v>
      </c>
      <c r="F18" s="698">
        <v>13</v>
      </c>
      <c r="G18" s="699">
        <v>75</v>
      </c>
      <c r="H18" s="696"/>
      <c r="I18" s="700" t="s">
        <v>63</v>
      </c>
      <c r="J18" s="701">
        <v>1.877</v>
      </c>
      <c r="K18" s="702" t="s">
        <v>198</v>
      </c>
      <c r="L18" s="703" t="s">
        <v>19</v>
      </c>
      <c r="M18" s="704">
        <v>6</v>
      </c>
      <c r="N18" s="704">
        <v>6</v>
      </c>
      <c r="O18" s="708" t="s">
        <v>30</v>
      </c>
      <c r="P18" s="700" t="s">
        <v>199</v>
      </c>
      <c r="Q18" s="709" t="str">
        <f t="shared" si="1"/>
        <v>DAV</v>
      </c>
      <c r="R18" s="701">
        <v>3.1</v>
      </c>
      <c r="S18" s="706"/>
      <c r="T18" s="710"/>
      <c r="U18" s="706" t="s">
        <v>200</v>
      </c>
      <c r="V18" s="710">
        <v>190</v>
      </c>
      <c r="W18" s="705" t="s">
        <v>201</v>
      </c>
      <c r="X18" s="706" t="s">
        <v>202</v>
      </c>
      <c r="Y18" s="707">
        <v>0.23200000000000001</v>
      </c>
      <c r="Z18" s="706" t="s">
        <v>203</v>
      </c>
      <c r="AA18" s="711">
        <v>1.79</v>
      </c>
      <c r="AB18" s="861">
        <v>100</v>
      </c>
      <c r="AC18" s="866">
        <f>Y$16*100/AA18</f>
        <v>9.9999999999999982</v>
      </c>
      <c r="AD18" s="712" t="s">
        <v>191</v>
      </c>
      <c r="AE18" s="713">
        <f t="shared" si="0"/>
        <v>0.58063916759568934</v>
      </c>
      <c r="AF18" s="714"/>
      <c r="AG18" s="714"/>
      <c r="AH18" s="702" t="s">
        <v>204</v>
      </c>
      <c r="AI18" s="703">
        <v>3</v>
      </c>
      <c r="AJ18" s="715" t="s">
        <v>205</v>
      </c>
      <c r="AK18" s="714"/>
      <c r="AL18" s="746" t="s">
        <v>206</v>
      </c>
      <c r="AM18" s="744" t="s">
        <v>207</v>
      </c>
      <c r="AN18" s="716">
        <v>0</v>
      </c>
    </row>
    <row r="19" spans="1:40" s="648" customFormat="1" ht="12.75" customHeight="1">
      <c r="A19" s="696"/>
      <c r="B19" s="696" t="s">
        <v>208</v>
      </c>
      <c r="C19" s="697" t="s">
        <v>209</v>
      </c>
      <c r="D19" s="698"/>
      <c r="E19" s="699"/>
      <c r="F19" s="698">
        <v>21</v>
      </c>
      <c r="G19" s="699">
        <v>100</v>
      </c>
      <c r="H19" s="696"/>
      <c r="I19" s="700"/>
      <c r="J19" s="701"/>
      <c r="K19" s="702" t="s">
        <v>210</v>
      </c>
      <c r="L19" s="703" t="s">
        <v>211</v>
      </c>
      <c r="M19" s="704">
        <v>4</v>
      </c>
      <c r="N19" s="704">
        <v>6</v>
      </c>
      <c r="O19" s="708" t="s">
        <v>29</v>
      </c>
      <c r="P19" s="700" t="s">
        <v>212</v>
      </c>
      <c r="Q19" s="709" t="str">
        <f t="shared" si="1"/>
        <v>Hüt</v>
      </c>
      <c r="R19" s="701">
        <v>4</v>
      </c>
      <c r="S19" s="706"/>
      <c r="T19" s="710"/>
      <c r="U19" s="706"/>
      <c r="V19" s="710"/>
      <c r="W19" s="705" t="s">
        <v>213</v>
      </c>
      <c r="X19" s="706" t="s">
        <v>214</v>
      </c>
      <c r="Y19" s="707">
        <v>0.17899999999999999</v>
      </c>
      <c r="Z19" s="706" t="s">
        <v>215</v>
      </c>
      <c r="AA19" s="711">
        <v>1.63</v>
      </c>
      <c r="AB19" s="861">
        <v>100</v>
      </c>
      <c r="AC19" s="866">
        <f>Y$16*100/AA19</f>
        <v>10.98159509202454</v>
      </c>
      <c r="AD19" s="712" t="s">
        <v>191</v>
      </c>
      <c r="AE19" s="713">
        <f t="shared" si="0"/>
        <v>0.58063916759568934</v>
      </c>
      <c r="AF19" s="714"/>
      <c r="AG19" s="714"/>
      <c r="AH19" s="702" t="s">
        <v>216</v>
      </c>
      <c r="AI19" s="703">
        <v>4</v>
      </c>
      <c r="AJ19" s="715" t="s">
        <v>217</v>
      </c>
      <c r="AK19" s="714"/>
      <c r="AL19" s="746" t="s">
        <v>218</v>
      </c>
      <c r="AM19" s="744"/>
      <c r="AN19" s="716"/>
    </row>
    <row r="20" spans="1:40" s="648" customFormat="1" ht="12.75" customHeight="1">
      <c r="A20" s="696"/>
      <c r="B20" s="696" t="s">
        <v>219</v>
      </c>
      <c r="C20" s="697" t="s">
        <v>220</v>
      </c>
      <c r="D20" s="698"/>
      <c r="E20" s="699"/>
      <c r="F20" s="698">
        <v>999</v>
      </c>
      <c r="G20" s="699">
        <v>100</v>
      </c>
      <c r="H20" s="696"/>
      <c r="I20" s="700"/>
      <c r="J20" s="701"/>
      <c r="K20" s="702" t="s">
        <v>221</v>
      </c>
      <c r="L20" s="703" t="s">
        <v>222</v>
      </c>
      <c r="M20" s="704">
        <v>4</v>
      </c>
      <c r="N20" s="704">
        <v>6</v>
      </c>
      <c r="O20" s="708" t="s">
        <v>223</v>
      </c>
      <c r="P20" s="700" t="s">
        <v>224</v>
      </c>
      <c r="Q20" s="709" t="str">
        <f t="shared" si="1"/>
        <v>Hot2</v>
      </c>
      <c r="R20" s="701">
        <v>6.7</v>
      </c>
      <c r="S20" s="706"/>
      <c r="T20" s="710"/>
      <c r="U20" s="706"/>
      <c r="V20" s="710"/>
      <c r="W20" s="705" t="s">
        <v>225</v>
      </c>
      <c r="X20" s="706" t="s">
        <v>27</v>
      </c>
      <c r="Y20" s="707">
        <v>0</v>
      </c>
      <c r="Z20" s="706" t="s">
        <v>226</v>
      </c>
      <c r="AA20" s="713">
        <f t="shared" ref="AA20:AA21" si="2">AB20/230/9.6*100/7.8</f>
        <v>9.2902266815310289E-2</v>
      </c>
      <c r="AB20" s="861">
        <v>16</v>
      </c>
      <c r="AC20" s="866">
        <f>Y17*100/AA$16</f>
        <v>1.8490566037735852</v>
      </c>
      <c r="AD20" s="712"/>
      <c r="AE20" s="713">
        <f t="shared" si="0"/>
        <v>9.2902266815310289E-2</v>
      </c>
      <c r="AF20" s="714"/>
      <c r="AG20" s="714"/>
      <c r="AH20" s="702" t="s">
        <v>227</v>
      </c>
      <c r="AI20" s="703">
        <v>5</v>
      </c>
      <c r="AJ20" s="715" t="s">
        <v>228</v>
      </c>
      <c r="AK20" s="714"/>
      <c r="AL20" s="746" t="s">
        <v>229</v>
      </c>
      <c r="AM20" s="749"/>
      <c r="AN20" s="718"/>
    </row>
    <row r="21" spans="1:40" s="648" customFormat="1" ht="12.75" customHeight="1">
      <c r="A21" s="696"/>
      <c r="B21" s="696" t="s">
        <v>230</v>
      </c>
      <c r="C21" s="697" t="s">
        <v>231</v>
      </c>
      <c r="D21" s="698"/>
      <c r="E21" s="699"/>
      <c r="F21" s="698"/>
      <c r="G21" s="699"/>
      <c r="H21" s="696"/>
      <c r="I21" s="700"/>
      <c r="J21" s="701"/>
      <c r="K21" s="702"/>
      <c r="L21" s="703" t="s">
        <v>232</v>
      </c>
      <c r="M21" s="704">
        <v>4</v>
      </c>
      <c r="N21" s="704">
        <v>4</v>
      </c>
      <c r="O21" s="708" t="s">
        <v>233</v>
      </c>
      <c r="P21" s="700" t="s">
        <v>234</v>
      </c>
      <c r="Q21" s="709" t="str">
        <f t="shared" si="1"/>
        <v>Hot4</v>
      </c>
      <c r="R21" s="701">
        <v>16.8</v>
      </c>
      <c r="S21" s="706"/>
      <c r="T21" s="710"/>
      <c r="U21" s="706"/>
      <c r="V21" s="710"/>
      <c r="W21" s="705" t="s">
        <v>235</v>
      </c>
      <c r="X21" s="706" t="s">
        <v>236</v>
      </c>
      <c r="Y21" s="707">
        <v>0</v>
      </c>
      <c r="Z21" s="706" t="s">
        <v>237</v>
      </c>
      <c r="AA21" s="713">
        <f t="shared" si="2"/>
        <v>1.3993403939056113</v>
      </c>
      <c r="AB21" s="861">
        <v>241</v>
      </c>
      <c r="AC21" s="866">
        <f>Y17*100/AA21</f>
        <v>3.5016497925311207</v>
      </c>
      <c r="AD21" s="712"/>
      <c r="AE21" s="713">
        <f t="shared" si="0"/>
        <v>1.3993403939056113</v>
      </c>
      <c r="AF21" s="714"/>
      <c r="AG21" s="714"/>
      <c r="AH21" s="702" t="s">
        <v>238</v>
      </c>
      <c r="AI21" s="703">
        <v>6</v>
      </c>
      <c r="AJ21" s="715" t="s">
        <v>239</v>
      </c>
      <c r="AK21" s="714"/>
      <c r="AL21" s="746" t="s">
        <v>240</v>
      </c>
      <c r="AM21" s="749"/>
      <c r="AN21" s="718"/>
    </row>
    <row r="22" spans="1:40" s="648" customFormat="1" ht="12.75" customHeight="1">
      <c r="A22" s="696"/>
      <c r="B22" s="696" t="s">
        <v>241</v>
      </c>
      <c r="C22" s="697" t="s">
        <v>242</v>
      </c>
      <c r="D22" s="698"/>
      <c r="E22" s="699"/>
      <c r="F22" s="698"/>
      <c r="G22" s="699"/>
      <c r="H22" s="696"/>
      <c r="I22" s="700"/>
      <c r="J22" s="701"/>
      <c r="K22" s="702"/>
      <c r="L22" s="703" t="s">
        <v>243</v>
      </c>
      <c r="M22" s="704">
        <v>6</v>
      </c>
      <c r="N22" s="704">
        <v>99</v>
      </c>
      <c r="O22" s="708" t="s">
        <v>244</v>
      </c>
      <c r="P22" s="700" t="s">
        <v>245</v>
      </c>
      <c r="Q22" s="709" t="str">
        <f t="shared" si="1"/>
        <v>Hot5</v>
      </c>
      <c r="R22" s="701">
        <v>30.3</v>
      </c>
      <c r="S22" s="706"/>
      <c r="T22" s="710"/>
      <c r="U22" s="706"/>
      <c r="V22" s="710"/>
      <c r="W22" s="705" t="s">
        <v>25</v>
      </c>
      <c r="X22" s="719" t="s">
        <v>25</v>
      </c>
      <c r="Y22" s="720">
        <v>4.7E-2</v>
      </c>
      <c r="Z22" s="706" t="s">
        <v>246</v>
      </c>
      <c r="AA22" s="711">
        <v>2.65</v>
      </c>
      <c r="AB22" s="861">
        <v>134</v>
      </c>
      <c r="AC22" s="866">
        <f>Y$18*100/AA16</f>
        <v>8.7547169811320771</v>
      </c>
      <c r="AD22" s="712" t="s">
        <v>191</v>
      </c>
      <c r="AE22" s="711">
        <v>2.2000000000000002</v>
      </c>
      <c r="AF22" s="714"/>
      <c r="AG22" s="714"/>
      <c r="AH22" s="702" t="s">
        <v>247</v>
      </c>
      <c r="AI22" s="703">
        <v>7</v>
      </c>
      <c r="AJ22" s="715" t="s">
        <v>248</v>
      </c>
      <c r="AK22" s="714"/>
      <c r="AL22" s="746" t="s">
        <v>249</v>
      </c>
      <c r="AM22" s="744"/>
      <c r="AN22" s="716"/>
    </row>
    <row r="23" spans="1:40" s="648" customFormat="1" ht="12.75" customHeight="1">
      <c r="A23" s="696"/>
      <c r="B23" s="696" t="s">
        <v>250</v>
      </c>
      <c r="C23" s="697" t="s">
        <v>251</v>
      </c>
      <c r="D23" s="698"/>
      <c r="E23" s="699"/>
      <c r="F23" s="698"/>
      <c r="G23" s="699"/>
      <c r="H23" s="696"/>
      <c r="I23" s="700"/>
      <c r="J23" s="701"/>
      <c r="K23" s="702"/>
      <c r="L23" s="703" t="s">
        <v>252</v>
      </c>
      <c r="M23" s="704">
        <v>6</v>
      </c>
      <c r="N23" s="704">
        <v>6</v>
      </c>
      <c r="O23" s="708">
        <v>0</v>
      </c>
      <c r="P23" s="700" t="s">
        <v>175</v>
      </c>
      <c r="Q23" s="709">
        <f t="shared" si="1"/>
        <v>0</v>
      </c>
      <c r="R23" s="701">
        <v>0</v>
      </c>
      <c r="S23" s="706"/>
      <c r="T23" s="710"/>
      <c r="U23" s="706"/>
      <c r="V23" s="710"/>
      <c r="W23" s="705" t="s">
        <v>253</v>
      </c>
      <c r="X23" s="706" t="s">
        <v>22</v>
      </c>
      <c r="Y23" s="720">
        <v>4.7E-2</v>
      </c>
      <c r="Z23" s="706" t="s">
        <v>254</v>
      </c>
      <c r="AA23" s="711">
        <v>2.3199999999999998</v>
      </c>
      <c r="AB23" s="861">
        <v>350</v>
      </c>
      <c r="AC23" s="866">
        <f>Y$18*100/AA17</f>
        <v>10.000000000000002</v>
      </c>
      <c r="AD23" s="712" t="s">
        <v>191</v>
      </c>
      <c r="AE23" s="713">
        <f>$AB23/230/9.6*100/7.8</f>
        <v>2.0322370865849129</v>
      </c>
      <c r="AF23" s="714"/>
      <c r="AG23" s="714"/>
      <c r="AH23" s="702" t="s">
        <v>255</v>
      </c>
      <c r="AI23" s="703">
        <v>8</v>
      </c>
      <c r="AJ23" s="715" t="s">
        <v>256</v>
      </c>
      <c r="AK23" s="714"/>
      <c r="AL23" s="746" t="s">
        <v>257</v>
      </c>
      <c r="AM23" s="744"/>
      <c r="AN23" s="716"/>
    </row>
    <row r="24" spans="1:40" s="648" customFormat="1" ht="12.75" customHeight="1">
      <c r="A24" s="696"/>
      <c r="B24" s="696" t="s">
        <v>5</v>
      </c>
      <c r="C24" s="697" t="s">
        <v>258</v>
      </c>
      <c r="D24" s="698"/>
      <c r="E24" s="699"/>
      <c r="F24" s="698"/>
      <c r="G24" s="699"/>
      <c r="H24" s="696"/>
      <c r="I24" s="700"/>
      <c r="J24" s="701"/>
      <c r="K24" s="702"/>
      <c r="L24" s="703" t="s">
        <v>259</v>
      </c>
      <c r="M24" s="704">
        <v>6</v>
      </c>
      <c r="N24" s="704">
        <v>6</v>
      </c>
      <c r="O24" s="708"/>
      <c r="P24" s="700"/>
      <c r="Q24" s="700"/>
      <c r="R24" s="701"/>
      <c r="S24" s="706"/>
      <c r="T24" s="710"/>
      <c r="U24" s="706"/>
      <c r="V24" s="710"/>
      <c r="W24" s="705" t="s">
        <v>260</v>
      </c>
      <c r="X24" s="706" t="s">
        <v>261</v>
      </c>
      <c r="Y24" s="707">
        <v>3.5000000000000003E-2</v>
      </c>
      <c r="Z24" s="706" t="s">
        <v>262</v>
      </c>
      <c r="AA24" s="711">
        <v>2.65</v>
      </c>
      <c r="AB24" s="861"/>
      <c r="AC24" s="866">
        <f>Y$19*100/AA16</f>
        <v>6.7547169811320753</v>
      </c>
      <c r="AD24" s="712"/>
      <c r="AE24" s="713">
        <f>$AB24/230/9.6*100/7.8</f>
        <v>0</v>
      </c>
      <c r="AF24" s="714"/>
      <c r="AG24" s="714"/>
      <c r="AH24" s="702" t="s">
        <v>263</v>
      </c>
      <c r="AI24" s="703">
        <v>9</v>
      </c>
      <c r="AJ24" s="715" t="s">
        <v>264</v>
      </c>
      <c r="AK24" s="714"/>
      <c r="AL24" s="746" t="s">
        <v>265</v>
      </c>
      <c r="AM24" s="744"/>
      <c r="AN24" s="716"/>
    </row>
    <row r="25" spans="1:40" s="648" customFormat="1" ht="12.75" customHeight="1">
      <c r="A25" s="696"/>
      <c r="B25" s="696" t="s">
        <v>266</v>
      </c>
      <c r="C25" s="697" t="s">
        <v>267</v>
      </c>
      <c r="D25" s="698"/>
      <c r="E25" s="699"/>
      <c r="F25" s="698"/>
      <c r="G25" s="699"/>
      <c r="H25" s="696"/>
      <c r="I25" s="700"/>
      <c r="J25" s="701"/>
      <c r="K25" s="702"/>
      <c r="L25" s="703" t="s">
        <v>268</v>
      </c>
      <c r="M25" s="704">
        <v>6</v>
      </c>
      <c r="N25" s="704">
        <v>6</v>
      </c>
      <c r="O25" s="708"/>
      <c r="P25" s="700"/>
      <c r="Q25" s="700"/>
      <c r="R25" s="721"/>
      <c r="S25" s="706"/>
      <c r="T25" s="710"/>
      <c r="U25" s="706"/>
      <c r="V25" s="710"/>
      <c r="W25" s="705" t="s">
        <v>269</v>
      </c>
      <c r="X25" s="712" t="s">
        <v>270</v>
      </c>
      <c r="Y25" s="707">
        <v>4.2000000000000003E-2</v>
      </c>
      <c r="Z25" s="706" t="s">
        <v>236</v>
      </c>
      <c r="AA25" s="713">
        <f>$AB25/230/9.6*100/7.8</f>
        <v>0</v>
      </c>
      <c r="AB25" s="861"/>
      <c r="AC25" s="866">
        <v>0</v>
      </c>
      <c r="AD25" s="712"/>
      <c r="AE25" s="713">
        <f>$AB25/230/9.6*100/7.8</f>
        <v>0</v>
      </c>
      <c r="AF25" s="714"/>
      <c r="AG25" s="714"/>
      <c r="AH25" s="702" t="s">
        <v>271</v>
      </c>
      <c r="AI25" s="703">
        <v>10</v>
      </c>
      <c r="AJ25" s="715" t="s">
        <v>272</v>
      </c>
      <c r="AK25" s="714"/>
      <c r="AL25" s="746" t="s">
        <v>273</v>
      </c>
      <c r="AM25" s="749"/>
      <c r="AN25" s="718"/>
    </row>
    <row r="26" spans="1:40" s="648" customFormat="1" ht="12.75" customHeight="1">
      <c r="A26" s="696"/>
      <c r="B26" s="696" t="s">
        <v>274</v>
      </c>
      <c r="C26" s="697" t="s">
        <v>275</v>
      </c>
      <c r="D26" s="698"/>
      <c r="E26" s="699"/>
      <c r="F26" s="698"/>
      <c r="G26" s="699"/>
      <c r="H26" s="696"/>
      <c r="I26" s="700"/>
      <c r="J26" s="701"/>
      <c r="K26" s="702"/>
      <c r="L26" s="703" t="s">
        <v>276</v>
      </c>
      <c r="M26" s="704">
        <v>6</v>
      </c>
      <c r="N26" s="704">
        <v>6</v>
      </c>
      <c r="O26" s="708"/>
      <c r="P26" s="700"/>
      <c r="Q26" s="700"/>
      <c r="R26" s="701"/>
      <c r="S26" s="706"/>
      <c r="T26" s="710"/>
      <c r="U26" s="706"/>
      <c r="V26" s="710"/>
      <c r="W26" s="722" t="s">
        <v>277</v>
      </c>
      <c r="X26" s="712" t="s">
        <v>179</v>
      </c>
      <c r="Y26" s="707">
        <v>0.17899999999999999</v>
      </c>
      <c r="Z26" s="706" t="s">
        <v>27</v>
      </c>
      <c r="AA26" s="713">
        <f>$AB26/230/9.6*100/7.8</f>
        <v>0</v>
      </c>
      <c r="AB26" s="861"/>
      <c r="AC26" s="866">
        <v>0</v>
      </c>
      <c r="AD26" s="712"/>
      <c r="AE26" s="713">
        <f>$AB26/230/9.6*100/7.8</f>
        <v>0</v>
      </c>
      <c r="AF26" s="714"/>
      <c r="AG26" s="714"/>
      <c r="AH26" s="702" t="s">
        <v>278</v>
      </c>
      <c r="AI26" s="703">
        <v>11</v>
      </c>
      <c r="AJ26" s="715" t="s">
        <v>279</v>
      </c>
      <c r="AK26" s="714"/>
      <c r="AL26" s="746"/>
      <c r="AM26" s="749"/>
      <c r="AN26" s="718"/>
    </row>
    <row r="27" spans="1:40" s="648" customFormat="1" ht="12.75" customHeight="1">
      <c r="A27" s="696"/>
      <c r="B27" s="696" t="s">
        <v>280</v>
      </c>
      <c r="C27" s="697" t="s">
        <v>281</v>
      </c>
      <c r="D27" s="698"/>
      <c r="E27" s="699"/>
      <c r="F27" s="698"/>
      <c r="G27" s="699"/>
      <c r="H27" s="696"/>
      <c r="I27" s="700"/>
      <c r="J27" s="701"/>
      <c r="K27" s="702"/>
      <c r="L27" s="703" t="s">
        <v>282</v>
      </c>
      <c r="M27" s="704">
        <v>6</v>
      </c>
      <c r="N27" s="704">
        <v>6</v>
      </c>
      <c r="O27" s="708"/>
      <c r="P27" s="700"/>
      <c r="Q27" s="700"/>
      <c r="R27" s="701"/>
      <c r="S27" s="706"/>
      <c r="T27" s="710"/>
      <c r="U27" s="706"/>
      <c r="V27" s="710"/>
      <c r="W27" s="722"/>
      <c r="X27" s="712"/>
      <c r="Y27" s="710"/>
      <c r="Z27" s="706" t="s">
        <v>270</v>
      </c>
      <c r="AA27" s="711">
        <v>2.65</v>
      </c>
      <c r="AB27" s="861"/>
      <c r="AC27" s="866">
        <f>Y25*100/AA$16</f>
        <v>1.5849056603773586</v>
      </c>
      <c r="AD27" s="712"/>
      <c r="AE27" s="711">
        <v>2.2000000000000002</v>
      </c>
      <c r="AF27" s="714"/>
      <c r="AG27" s="714"/>
      <c r="AH27" s="702" t="s">
        <v>283</v>
      </c>
      <c r="AI27" s="723">
        <v>12</v>
      </c>
      <c r="AJ27" s="724" t="s">
        <v>284</v>
      </c>
      <c r="AK27" s="714"/>
      <c r="AL27" s="746"/>
      <c r="AM27" s="744"/>
      <c r="AN27" s="716"/>
    </row>
    <row r="28" spans="1:40" s="648" customFormat="1" ht="12.75" customHeight="1">
      <c r="A28" s="696"/>
      <c r="B28" s="696" t="s">
        <v>285</v>
      </c>
      <c r="C28" s="697" t="s">
        <v>286</v>
      </c>
      <c r="D28" s="708"/>
      <c r="E28" s="701"/>
      <c r="F28" s="708"/>
      <c r="G28" s="701"/>
      <c r="H28" s="702"/>
      <c r="I28" s="725"/>
      <c r="J28" s="711"/>
      <c r="K28" s="702"/>
      <c r="L28" s="703" t="s">
        <v>287</v>
      </c>
      <c r="M28" s="704">
        <v>6</v>
      </c>
      <c r="N28" s="704">
        <v>99</v>
      </c>
      <c r="O28" s="708"/>
      <c r="P28" s="700"/>
      <c r="Q28" s="700"/>
      <c r="R28" s="701"/>
      <c r="S28" s="725"/>
      <c r="T28" s="711"/>
      <c r="U28" s="725"/>
      <c r="V28" s="711"/>
      <c r="W28" s="722"/>
      <c r="X28" s="712"/>
      <c r="Y28" s="710"/>
      <c r="Z28" s="725" t="s">
        <v>25</v>
      </c>
      <c r="AA28" s="711">
        <v>2</v>
      </c>
      <c r="AB28" s="861"/>
      <c r="AC28" s="866">
        <f>Y22*100/AA$16</f>
        <v>1.7735849056603774</v>
      </c>
      <c r="AD28" s="712"/>
      <c r="AE28" s="711">
        <v>2</v>
      </c>
      <c r="AF28" s="714"/>
      <c r="AG28" s="714"/>
      <c r="AH28" s="702" t="s">
        <v>288</v>
      </c>
      <c r="AI28" s="726"/>
      <c r="AJ28" s="726"/>
      <c r="AK28" s="714"/>
      <c r="AL28" s="747"/>
      <c r="AM28" s="744"/>
      <c r="AN28" s="716"/>
    </row>
    <row r="29" spans="1:40" s="648" customFormat="1" ht="12.75" customHeight="1">
      <c r="A29" s="696"/>
      <c r="B29" s="696" t="s">
        <v>289</v>
      </c>
      <c r="C29" s="697" t="s">
        <v>290</v>
      </c>
      <c r="D29" s="708"/>
      <c r="E29" s="701"/>
      <c r="F29" s="708"/>
      <c r="G29" s="701"/>
      <c r="H29" s="702"/>
      <c r="I29" s="725"/>
      <c r="J29" s="711"/>
      <c r="K29" s="702"/>
      <c r="L29" s="703" t="s">
        <v>291</v>
      </c>
      <c r="M29" s="704">
        <v>6</v>
      </c>
      <c r="N29" s="704">
        <v>6</v>
      </c>
      <c r="O29" s="708"/>
      <c r="P29" s="700"/>
      <c r="Q29" s="700"/>
      <c r="R29" s="701"/>
      <c r="S29" s="725"/>
      <c r="T29" s="711"/>
      <c r="U29" s="725"/>
      <c r="V29" s="711"/>
      <c r="W29" s="722"/>
      <c r="X29" s="712"/>
      <c r="Y29" s="710"/>
      <c r="Z29" s="725" t="s">
        <v>22</v>
      </c>
      <c r="AA29" s="711">
        <v>2</v>
      </c>
      <c r="AB29" s="861"/>
      <c r="AC29" s="866">
        <f>Y23*100/AA$16</f>
        <v>1.7735849056603774</v>
      </c>
      <c r="AD29" s="712"/>
      <c r="AE29" s="711">
        <v>2.2000000000000002</v>
      </c>
      <c r="AF29" s="714"/>
      <c r="AG29" s="714"/>
      <c r="AH29" s="702" t="s">
        <v>292</v>
      </c>
      <c r="AI29" s="702"/>
      <c r="AJ29" s="702"/>
      <c r="AK29" s="714"/>
      <c r="AL29" s="747"/>
      <c r="AM29" s="744"/>
      <c r="AN29" s="716"/>
    </row>
    <row r="30" spans="1:40" s="648" customFormat="1" ht="12.75" customHeight="1">
      <c r="A30" s="696"/>
      <c r="B30" s="696" t="s">
        <v>293</v>
      </c>
      <c r="C30" s="697" t="s">
        <v>294</v>
      </c>
      <c r="D30" s="708"/>
      <c r="E30" s="701"/>
      <c r="F30" s="708"/>
      <c r="G30" s="701"/>
      <c r="H30" s="702"/>
      <c r="I30" s="725"/>
      <c r="J30" s="711"/>
      <c r="K30" s="702"/>
      <c r="L30" s="703" t="s">
        <v>295</v>
      </c>
      <c r="M30" s="704">
        <v>6</v>
      </c>
      <c r="N30" s="704">
        <v>6</v>
      </c>
      <c r="O30" s="708"/>
      <c r="P30" s="700"/>
      <c r="Q30" s="700"/>
      <c r="R30" s="701"/>
      <c r="S30" s="725"/>
      <c r="T30" s="711"/>
      <c r="U30" s="725"/>
      <c r="V30" s="711"/>
      <c r="W30" s="722"/>
      <c r="X30" s="712"/>
      <c r="Y30" s="710"/>
      <c r="Z30" s="725" t="s">
        <v>261</v>
      </c>
      <c r="AA30" s="711">
        <v>2</v>
      </c>
      <c r="AB30" s="861"/>
      <c r="AC30" s="866">
        <f>Y24*100/AA$16</f>
        <v>1.3207547169811322</v>
      </c>
      <c r="AD30" s="712"/>
      <c r="AE30" s="862"/>
      <c r="AF30" s="714"/>
      <c r="AG30" s="714"/>
      <c r="AH30" s="702" t="s">
        <v>296</v>
      </c>
      <c r="AI30" s="702"/>
      <c r="AJ30" s="702"/>
      <c r="AK30" s="714"/>
      <c r="AL30" s="747"/>
      <c r="AM30" s="744"/>
      <c r="AN30" s="716"/>
    </row>
    <row r="31" spans="1:40" s="648" customFormat="1" ht="12.75" customHeight="1">
      <c r="A31" s="696"/>
      <c r="B31" s="696" t="s">
        <v>297</v>
      </c>
      <c r="C31" s="840" t="s">
        <v>298</v>
      </c>
      <c r="D31" s="708"/>
      <c r="E31" s="701"/>
      <c r="F31" s="708"/>
      <c r="G31" s="701"/>
      <c r="H31" s="702"/>
      <c r="I31" s="725"/>
      <c r="J31" s="711"/>
      <c r="K31" s="702"/>
      <c r="L31" s="703" t="s">
        <v>299</v>
      </c>
      <c r="M31" s="704">
        <v>6</v>
      </c>
      <c r="N31" s="704">
        <v>6</v>
      </c>
      <c r="O31" s="708"/>
      <c r="P31" s="700"/>
      <c r="Q31" s="700"/>
      <c r="R31" s="701"/>
      <c r="S31" s="725"/>
      <c r="T31" s="711"/>
      <c r="U31" s="725"/>
      <c r="V31" s="711"/>
      <c r="W31" s="722"/>
      <c r="X31" s="712"/>
      <c r="Y31" s="710"/>
      <c r="Z31" s="725" t="s">
        <v>26</v>
      </c>
      <c r="AA31" s="711">
        <v>2.65</v>
      </c>
      <c r="AB31" s="861"/>
      <c r="AC31" s="866">
        <f>Y$16*100/AA31</f>
        <v>6.7547169811320753</v>
      </c>
      <c r="AD31" s="712"/>
      <c r="AE31" s="862"/>
      <c r="AF31" s="714"/>
      <c r="AG31" s="714"/>
      <c r="AH31" s="702" t="s">
        <v>300</v>
      </c>
      <c r="AI31" s="702"/>
      <c r="AJ31" s="702"/>
      <c r="AK31" s="714"/>
      <c r="AL31" s="747"/>
      <c r="AM31" s="744"/>
      <c r="AN31" s="716"/>
    </row>
    <row r="32" spans="1:40" s="648" customFormat="1" ht="12.75" customHeight="1">
      <c r="A32" s="696"/>
      <c r="B32" s="696"/>
      <c r="C32" s="696"/>
      <c r="D32" s="708"/>
      <c r="E32" s="701"/>
      <c r="F32" s="708"/>
      <c r="G32" s="701"/>
      <c r="H32" s="702"/>
      <c r="I32" s="725"/>
      <c r="J32" s="711"/>
      <c r="K32" s="702"/>
      <c r="L32" s="703" t="s">
        <v>301</v>
      </c>
      <c r="M32" s="704">
        <v>6</v>
      </c>
      <c r="N32" s="704">
        <v>99</v>
      </c>
      <c r="O32" s="708"/>
      <c r="P32" s="700"/>
      <c r="Q32" s="700"/>
      <c r="R32" s="701"/>
      <c r="S32" s="725"/>
      <c r="T32" s="711"/>
      <c r="U32" s="725"/>
      <c r="V32" s="711"/>
      <c r="W32" s="722"/>
      <c r="X32" s="712"/>
      <c r="Y32" s="710"/>
      <c r="Z32" s="725"/>
      <c r="AA32" s="711"/>
      <c r="AB32" s="861"/>
      <c r="AC32" s="712"/>
      <c r="AD32" s="712"/>
      <c r="AE32" s="862"/>
      <c r="AF32" s="714"/>
      <c r="AG32" s="714"/>
      <c r="AH32" s="702" t="s">
        <v>302</v>
      </c>
      <c r="AI32" s="702"/>
      <c r="AJ32" s="702"/>
      <c r="AK32" s="714"/>
      <c r="AL32" s="747"/>
      <c r="AM32" s="744"/>
      <c r="AN32" s="716"/>
    </row>
    <row r="33" spans="1:40" s="648" customFormat="1" ht="12.75" customHeight="1">
      <c r="A33" s="696"/>
      <c r="B33" s="696"/>
      <c r="C33" s="696"/>
      <c r="D33" s="708"/>
      <c r="E33" s="701"/>
      <c r="F33" s="708"/>
      <c r="G33" s="701"/>
      <c r="H33" s="702"/>
      <c r="I33" s="725"/>
      <c r="J33" s="711"/>
      <c r="K33" s="702"/>
      <c r="L33" s="703" t="s">
        <v>303</v>
      </c>
      <c r="M33" s="704">
        <v>6</v>
      </c>
      <c r="N33" s="704">
        <v>6</v>
      </c>
      <c r="O33" s="708"/>
      <c r="P33" s="700"/>
      <c r="Q33" s="700"/>
      <c r="R33" s="701"/>
      <c r="S33" s="725"/>
      <c r="T33" s="711"/>
      <c r="U33" s="725"/>
      <c r="V33" s="711"/>
      <c r="W33" s="722"/>
      <c r="X33" s="712"/>
      <c r="Y33" s="710"/>
      <c r="Z33" s="725"/>
      <c r="AA33" s="711"/>
      <c r="AB33" s="861"/>
      <c r="AC33" s="712"/>
      <c r="AD33" s="712"/>
      <c r="AE33" s="862"/>
      <c r="AF33" s="714"/>
      <c r="AG33" s="714"/>
      <c r="AH33" s="702" t="s">
        <v>304</v>
      </c>
      <c r="AI33" s="702"/>
      <c r="AJ33" s="702"/>
      <c r="AK33" s="714"/>
      <c r="AL33" s="747"/>
      <c r="AM33" s="744"/>
      <c r="AN33" s="716"/>
    </row>
    <row r="34" spans="1:40" s="648" customFormat="1" ht="12.75" customHeight="1">
      <c r="A34" s="696"/>
      <c r="B34" s="696"/>
      <c r="C34" s="696"/>
      <c r="D34" s="708"/>
      <c r="E34" s="701"/>
      <c r="F34" s="708"/>
      <c r="G34" s="701"/>
      <c r="H34" s="702"/>
      <c r="I34" s="725"/>
      <c r="J34" s="711"/>
      <c r="K34" s="702"/>
      <c r="L34" s="703" t="s">
        <v>305</v>
      </c>
      <c r="M34" s="704">
        <v>6</v>
      </c>
      <c r="N34" s="704">
        <v>6</v>
      </c>
      <c r="O34" s="708"/>
      <c r="P34" s="700"/>
      <c r="Q34" s="700"/>
      <c r="R34" s="701"/>
      <c r="S34" s="725"/>
      <c r="T34" s="711"/>
      <c r="U34" s="725"/>
      <c r="V34" s="711"/>
      <c r="W34" s="722"/>
      <c r="X34" s="712"/>
      <c r="Y34" s="710"/>
      <c r="Z34" s="725"/>
      <c r="AA34" s="711"/>
      <c r="AB34" s="861"/>
      <c r="AC34" s="712"/>
      <c r="AD34" s="712"/>
      <c r="AE34" s="862"/>
      <c r="AF34" s="714"/>
      <c r="AG34" s="714"/>
      <c r="AH34" s="702" t="s">
        <v>306</v>
      </c>
      <c r="AI34" s="702"/>
      <c r="AJ34" s="702"/>
      <c r="AK34" s="714"/>
      <c r="AL34" s="747"/>
      <c r="AM34" s="744"/>
      <c r="AN34" s="716"/>
    </row>
    <row r="35" spans="1:40" s="648" customFormat="1" ht="12.75" customHeight="1">
      <c r="A35" s="696"/>
      <c r="B35" s="696"/>
      <c r="C35" s="696"/>
      <c r="D35" s="708"/>
      <c r="E35" s="701"/>
      <c r="F35" s="708"/>
      <c r="G35" s="701"/>
      <c r="H35" s="702"/>
      <c r="I35" s="725"/>
      <c r="J35" s="711"/>
      <c r="K35" s="702"/>
      <c r="L35" s="703" t="s">
        <v>307</v>
      </c>
      <c r="M35" s="704">
        <v>6</v>
      </c>
      <c r="N35" s="704">
        <v>6</v>
      </c>
      <c r="O35" s="708"/>
      <c r="P35" s="700"/>
      <c r="Q35" s="700"/>
      <c r="R35" s="701"/>
      <c r="S35" s="725"/>
      <c r="T35" s="711"/>
      <c r="U35" s="725"/>
      <c r="V35" s="711"/>
      <c r="W35" s="722"/>
      <c r="X35" s="712"/>
      <c r="Y35" s="710"/>
      <c r="Z35" s="725"/>
      <c r="AA35" s="711"/>
      <c r="AB35" s="861"/>
      <c r="AC35" s="712"/>
      <c r="AD35" s="712"/>
      <c r="AE35" s="862"/>
      <c r="AF35" s="714"/>
      <c r="AG35" s="714"/>
      <c r="AH35" s="702" t="s">
        <v>308</v>
      </c>
      <c r="AI35" s="702"/>
      <c r="AJ35" s="702"/>
      <c r="AK35" s="714"/>
      <c r="AL35" s="747"/>
      <c r="AM35" s="744"/>
      <c r="AN35" s="716"/>
    </row>
    <row r="36" spans="1:40" s="648" customFormat="1" ht="12.75" customHeight="1">
      <c r="A36" s="727"/>
      <c r="B36" s="727"/>
      <c r="C36" s="727"/>
      <c r="D36" s="728"/>
      <c r="E36" s="729"/>
      <c r="F36" s="728"/>
      <c r="G36" s="729"/>
      <c r="H36" s="730"/>
      <c r="I36" s="731"/>
      <c r="J36" s="732"/>
      <c r="K36" s="730"/>
      <c r="L36" s="723"/>
      <c r="M36" s="733"/>
      <c r="N36" s="733"/>
      <c r="O36" s="728"/>
      <c r="P36" s="736"/>
      <c r="Q36" s="736"/>
      <c r="R36" s="729"/>
      <c r="S36" s="731"/>
      <c r="T36" s="732"/>
      <c r="U36" s="731"/>
      <c r="V36" s="732"/>
      <c r="W36" s="734"/>
      <c r="X36" s="859"/>
      <c r="Y36" s="735"/>
      <c r="Z36" s="731"/>
      <c r="AA36" s="732"/>
      <c r="AB36" s="863"/>
      <c r="AC36" s="864"/>
      <c r="AD36" s="864"/>
      <c r="AE36" s="865"/>
      <c r="AF36" s="714"/>
      <c r="AG36" s="714"/>
      <c r="AH36" s="702" t="s">
        <v>309</v>
      </c>
      <c r="AI36" s="702"/>
      <c r="AJ36" s="702"/>
      <c r="AK36" s="714"/>
      <c r="AL36" s="748"/>
      <c r="AM36" s="745"/>
      <c r="AN36" s="737"/>
    </row>
    <row r="37" spans="1:40" s="551" customFormat="1" ht="12.75" customHeight="1">
      <c r="A37" s="605"/>
      <c r="B37" s="605"/>
      <c r="C37" s="605"/>
      <c r="D37" s="605"/>
      <c r="E37" s="605"/>
      <c r="F37" s="605"/>
      <c r="G37" s="605"/>
      <c r="H37" s="605"/>
      <c r="I37" s="605"/>
      <c r="J37" s="605"/>
      <c r="K37" s="738"/>
      <c r="L37" s="738" t="str">
        <f>L16&amp;L17&amp;L18&amp;L19&amp;L20&amp;L21&amp;L22&amp;L23&amp;L24&amp;L25&amp;L26&amp;L27&amp;L28&amp;L29&amp;L30&amp;L31&amp;L32&amp;L33&amp;L34&amp;L35&amp;L36</f>
        <v>Hochtour(Berg-)WandernBergsteigenLeistungsbergsteigen(Sport-)KletternAlpinkletternHöhlenkletternKlettersteigBouldernMTBSkitourSkilaufSkilanglaufSchneeschuhbergsteigenFreerideSegelfliegen/ParagleitenSki-/KonditionsgymnastikWildwasserkajak/WassersportartenSonstigesKeine Sportart</v>
      </c>
      <c r="M37" s="738"/>
      <c r="N37" s="738"/>
      <c r="O37" s="739" t="s">
        <v>310</v>
      </c>
      <c r="P37" s="739" t="s">
        <v>310</v>
      </c>
      <c r="Q37" s="605"/>
      <c r="R37" s="740" t="s">
        <v>310</v>
      </c>
      <c r="S37" s="739" t="s">
        <v>310</v>
      </c>
      <c r="T37" s="605"/>
      <c r="U37" s="605"/>
      <c r="V37" s="605"/>
      <c r="W37" s="739" t="s">
        <v>310</v>
      </c>
      <c r="X37" s="739" t="s">
        <v>310</v>
      </c>
      <c r="Y37" s="738"/>
      <c r="Z37" s="605"/>
      <c r="AA37" s="605"/>
      <c r="AB37" s="605"/>
      <c r="AC37" s="605"/>
      <c r="AD37" s="605"/>
      <c r="AE37" s="605"/>
      <c r="AF37" s="605"/>
      <c r="AG37" s="605"/>
      <c r="AH37" s="702" t="s">
        <v>311</v>
      </c>
      <c r="AI37" s="702"/>
      <c r="AJ37" s="702"/>
      <c r="AK37" s="605"/>
      <c r="AL37" s="605"/>
      <c r="AM37" s="605"/>
      <c r="AN37" s="605"/>
    </row>
    <row r="38" spans="1:40" ht="12.75" customHeight="1" thickBot="1">
      <c r="O38" s="648"/>
      <c r="X38" s="648"/>
      <c r="Y38" s="649"/>
      <c r="AH38" s="702" t="s">
        <v>312</v>
      </c>
      <c r="AI38" s="702"/>
      <c r="AJ38" s="702"/>
    </row>
    <row r="39" spans="1:40" ht="12.75" customHeight="1" thickTop="1">
      <c r="A39" s="1046" t="s">
        <v>313</v>
      </c>
      <c r="B39" s="1047"/>
      <c r="C39" s="1048"/>
      <c r="D39" s="1048"/>
      <c r="E39" s="1048"/>
      <c r="F39" s="1048"/>
      <c r="G39" s="1048"/>
      <c r="H39" s="1048"/>
      <c r="I39" s="1048"/>
      <c r="J39" s="1048"/>
      <c r="K39" s="1049"/>
      <c r="X39" s="648"/>
      <c r="Y39" s="649"/>
      <c r="AH39" s="702" t="s">
        <v>314</v>
      </c>
      <c r="AI39" s="702"/>
      <c r="AJ39" s="702"/>
    </row>
    <row r="40" spans="1:40" ht="43.5" customHeight="1">
      <c r="A40" s="1050" t="s">
        <v>315</v>
      </c>
      <c r="B40" s="650" t="s">
        <v>316</v>
      </c>
      <c r="C40" s="1172" t="s">
        <v>317</v>
      </c>
      <c r="D40" s="1173"/>
      <c r="E40" s="1173"/>
      <c r="F40" s="1173"/>
      <c r="G40" s="1173"/>
      <c r="H40" s="1173"/>
      <c r="I40" s="1173"/>
      <c r="J40" s="1173"/>
      <c r="K40" s="1174"/>
      <c r="X40" s="648"/>
      <c r="Y40" s="649"/>
      <c r="AH40" s="702" t="s">
        <v>318</v>
      </c>
      <c r="AI40" s="702"/>
      <c r="AJ40" s="702"/>
    </row>
    <row r="41" spans="1:40" ht="43.5" customHeight="1">
      <c r="A41" s="1050" t="s">
        <v>319</v>
      </c>
      <c r="B41" s="650" t="s">
        <v>316</v>
      </c>
      <c r="C41" s="1172" t="s">
        <v>320</v>
      </c>
      <c r="D41" s="1173"/>
      <c r="E41" s="1173"/>
      <c r="F41" s="1173"/>
      <c r="G41" s="1173"/>
      <c r="H41" s="1173"/>
      <c r="I41" s="1173"/>
      <c r="J41" s="1173"/>
      <c r="K41" s="1174"/>
      <c r="X41" s="648"/>
      <c r="Y41" s="649"/>
      <c r="AH41" s="702" t="s">
        <v>318</v>
      </c>
      <c r="AI41" s="702"/>
      <c r="AJ41" s="702"/>
    </row>
    <row r="42" spans="1:40" ht="43.5" customHeight="1">
      <c r="A42" s="1050" t="s">
        <v>321</v>
      </c>
      <c r="B42" s="650" t="s">
        <v>316</v>
      </c>
      <c r="C42" s="1172" t="s">
        <v>322</v>
      </c>
      <c r="D42" s="1173"/>
      <c r="E42" s="1173"/>
      <c r="F42" s="1173"/>
      <c r="G42" s="1173"/>
      <c r="H42" s="1173"/>
      <c r="I42" s="1173"/>
      <c r="J42" s="1173"/>
      <c r="K42" s="1174"/>
      <c r="X42" s="648"/>
      <c r="Y42" s="649"/>
      <c r="AH42" s="702" t="s">
        <v>318</v>
      </c>
      <c r="AI42" s="702"/>
      <c r="AJ42" s="702"/>
    </row>
    <row r="43" spans="1:40">
      <c r="A43" s="1050" t="s">
        <v>323</v>
      </c>
      <c r="B43" s="650" t="s">
        <v>316</v>
      </c>
      <c r="C43" s="1172" t="s">
        <v>324</v>
      </c>
      <c r="D43" s="1173"/>
      <c r="E43" s="1173"/>
      <c r="F43" s="1173"/>
      <c r="G43" s="1173"/>
      <c r="H43" s="1173"/>
      <c r="I43" s="1173"/>
      <c r="J43" s="1173"/>
      <c r="K43" s="1174"/>
      <c r="X43" s="648"/>
      <c r="Y43" s="649"/>
      <c r="AH43" s="702" t="s">
        <v>318</v>
      </c>
      <c r="AI43" s="702"/>
      <c r="AJ43" s="702"/>
    </row>
    <row r="44" spans="1:40" ht="54.75" customHeight="1">
      <c r="A44" s="1050" t="s">
        <v>325</v>
      </c>
      <c r="B44" s="650" t="s">
        <v>316</v>
      </c>
      <c r="C44" s="1172" t="s">
        <v>326</v>
      </c>
      <c r="D44" s="1173"/>
      <c r="E44" s="1173"/>
      <c r="F44" s="1173"/>
      <c r="G44" s="1173"/>
      <c r="H44" s="1173"/>
      <c r="I44" s="1173"/>
      <c r="J44" s="1173"/>
      <c r="K44" s="1174"/>
      <c r="X44" s="648"/>
      <c r="Y44" s="649"/>
      <c r="AH44" s="702" t="s">
        <v>318</v>
      </c>
      <c r="AI44" s="702"/>
      <c r="AJ44" s="702"/>
    </row>
    <row r="45" spans="1:40" ht="82.5" customHeight="1">
      <c r="A45" s="1050" t="s">
        <v>327</v>
      </c>
      <c r="B45" s="650" t="s">
        <v>316</v>
      </c>
      <c r="C45" s="1172" t="s">
        <v>328</v>
      </c>
      <c r="D45" s="1173"/>
      <c r="E45" s="1173"/>
      <c r="F45" s="1173"/>
      <c r="G45" s="1173"/>
      <c r="H45" s="1173"/>
      <c r="I45" s="1173"/>
      <c r="J45" s="1173"/>
      <c r="K45" s="1174"/>
      <c r="X45" s="648"/>
      <c r="Y45" s="649"/>
      <c r="AH45" s="702" t="s">
        <v>318</v>
      </c>
      <c r="AI45" s="702"/>
      <c r="AJ45" s="702"/>
    </row>
    <row r="46" spans="1:40" ht="16.5" customHeight="1">
      <c r="A46" s="1050" t="s">
        <v>329</v>
      </c>
      <c r="B46" s="650" t="s">
        <v>316</v>
      </c>
      <c r="C46" s="1172" t="s">
        <v>330</v>
      </c>
      <c r="D46" s="1173"/>
      <c r="E46" s="1173"/>
      <c r="F46" s="1173"/>
      <c r="G46" s="1173"/>
      <c r="H46" s="1173"/>
      <c r="I46" s="1173"/>
      <c r="J46" s="1173"/>
      <c r="K46" s="1174"/>
      <c r="X46" s="648"/>
      <c r="Y46" s="649"/>
      <c r="AH46" s="702" t="s">
        <v>331</v>
      </c>
      <c r="AI46" s="702"/>
      <c r="AJ46" s="702"/>
    </row>
    <row r="47" spans="1:40" s="653" customFormat="1" ht="99" customHeight="1">
      <c r="A47" s="1050" t="s">
        <v>332</v>
      </c>
      <c r="B47" s="650" t="s">
        <v>316</v>
      </c>
      <c r="C47" s="1172" t="s">
        <v>333</v>
      </c>
      <c r="D47" s="1173"/>
      <c r="E47" s="1173"/>
      <c r="F47" s="1173"/>
      <c r="G47" s="1173"/>
      <c r="H47" s="1173"/>
      <c r="I47" s="1173"/>
      <c r="J47" s="1173"/>
      <c r="K47" s="1174"/>
      <c r="X47" s="652"/>
      <c r="Y47" s="1042"/>
      <c r="AH47" s="1043"/>
      <c r="AI47" s="1043"/>
      <c r="AJ47" s="1043"/>
    </row>
    <row r="48" spans="1:40" s="653" customFormat="1" ht="14.25" customHeight="1">
      <c r="A48" s="1050" t="s">
        <v>334</v>
      </c>
      <c r="B48" s="651" t="s">
        <v>316</v>
      </c>
      <c r="C48" s="1172" t="s">
        <v>335</v>
      </c>
      <c r="D48" s="1173"/>
      <c r="E48" s="1173"/>
      <c r="F48" s="1173"/>
      <c r="G48" s="1173"/>
      <c r="H48" s="1173"/>
      <c r="I48" s="1173"/>
      <c r="J48" s="1173"/>
      <c r="K48" s="1174"/>
    </row>
    <row r="49" spans="1:36" s="653" customFormat="1" ht="14.25" customHeight="1">
      <c r="A49" s="1050" t="s">
        <v>336</v>
      </c>
      <c r="B49" s="651" t="s">
        <v>316</v>
      </c>
      <c r="C49" s="1172" t="s">
        <v>337</v>
      </c>
      <c r="D49" s="1173"/>
      <c r="E49" s="1173"/>
      <c r="F49" s="1173"/>
      <c r="G49" s="1173"/>
      <c r="H49" s="1173"/>
      <c r="I49" s="1173"/>
      <c r="J49" s="1173"/>
      <c r="K49" s="1174"/>
    </row>
    <row r="50" spans="1:36" s="653" customFormat="1" ht="40.5" customHeight="1">
      <c r="A50" s="1051" t="s">
        <v>338</v>
      </c>
      <c r="B50" s="650" t="s">
        <v>316</v>
      </c>
      <c r="C50" s="1175" t="s">
        <v>339</v>
      </c>
      <c r="D50" s="1173"/>
      <c r="E50" s="1173"/>
      <c r="F50" s="1173"/>
      <c r="G50" s="1173"/>
      <c r="H50" s="1173"/>
      <c r="I50" s="1173"/>
      <c r="J50" s="1173"/>
      <c r="K50" s="1174"/>
    </row>
    <row r="51" spans="1:36" s="653" customFormat="1" ht="28.5" customHeight="1">
      <c r="A51" s="1051" t="s">
        <v>340</v>
      </c>
      <c r="B51" s="650" t="s">
        <v>316</v>
      </c>
      <c r="C51" s="1175" t="s">
        <v>341</v>
      </c>
      <c r="D51" s="1173"/>
      <c r="E51" s="1173"/>
      <c r="F51" s="1173"/>
      <c r="G51" s="1173"/>
      <c r="H51" s="1173"/>
      <c r="I51" s="1173"/>
      <c r="J51" s="1173"/>
      <c r="K51" s="1174"/>
    </row>
    <row r="52" spans="1:36" s="653" customFormat="1" ht="15" customHeight="1">
      <c r="A52" s="1051" t="s">
        <v>342</v>
      </c>
      <c r="B52" s="650" t="s">
        <v>316</v>
      </c>
      <c r="C52" s="1175" t="s">
        <v>343</v>
      </c>
      <c r="D52" s="1173"/>
      <c r="E52" s="1173"/>
      <c r="F52" s="1173"/>
      <c r="G52" s="1173"/>
      <c r="H52" s="1173"/>
      <c r="I52" s="1173"/>
      <c r="J52" s="1173"/>
      <c r="K52" s="1174"/>
      <c r="X52" s="652"/>
      <c r="Y52" s="1042"/>
      <c r="AH52" s="1044" t="s">
        <v>305</v>
      </c>
      <c r="AI52" s="1044"/>
      <c r="AJ52" s="1044"/>
    </row>
    <row r="53" spans="1:36" s="653" customFormat="1" ht="17.25" customHeight="1">
      <c r="A53" s="1051" t="s">
        <v>344</v>
      </c>
      <c r="B53" s="650" t="s">
        <v>316</v>
      </c>
      <c r="C53" s="1175" t="s">
        <v>345</v>
      </c>
      <c r="D53" s="1173"/>
      <c r="E53" s="1173"/>
      <c r="F53" s="1173"/>
      <c r="G53" s="1173"/>
      <c r="H53" s="1173"/>
      <c r="I53" s="1173"/>
      <c r="J53" s="1173"/>
      <c r="K53" s="1174"/>
      <c r="X53" s="652"/>
      <c r="Y53" s="1042"/>
      <c r="AH53" s="1045" t="s">
        <v>346</v>
      </c>
      <c r="AI53" s="1045"/>
      <c r="AJ53" s="1045"/>
    </row>
    <row r="54" spans="1:36" s="653" customFormat="1" ht="30.75" customHeight="1">
      <c r="A54" s="1051" t="s">
        <v>347</v>
      </c>
      <c r="B54" s="650" t="s">
        <v>316</v>
      </c>
      <c r="C54" s="1175" t="s">
        <v>348</v>
      </c>
      <c r="D54" s="1173"/>
      <c r="E54" s="1173"/>
      <c r="F54" s="1173"/>
      <c r="G54" s="1173"/>
      <c r="H54" s="1173"/>
      <c r="I54" s="1173"/>
      <c r="J54" s="1173"/>
      <c r="K54" s="1174"/>
      <c r="X54" s="652"/>
      <c r="Y54" s="1042"/>
      <c r="AH54" s="1043" t="s">
        <v>349</v>
      </c>
      <c r="AI54" s="1043"/>
      <c r="AJ54" s="1043"/>
    </row>
    <row r="55" spans="1:36" s="653" customFormat="1" ht="18" customHeight="1">
      <c r="A55" s="1050" t="s">
        <v>350</v>
      </c>
      <c r="B55" s="650" t="s">
        <v>316</v>
      </c>
      <c r="C55" s="1175" t="s">
        <v>351</v>
      </c>
      <c r="D55" s="1173"/>
      <c r="E55" s="1173"/>
      <c r="F55" s="1173"/>
      <c r="G55" s="1173"/>
      <c r="H55" s="1173"/>
      <c r="I55" s="1173"/>
      <c r="J55" s="1173"/>
      <c r="K55" s="1174"/>
      <c r="X55" s="652"/>
      <c r="Y55" s="1042"/>
      <c r="AH55" s="1045" t="s">
        <v>305</v>
      </c>
      <c r="AI55" s="1045"/>
      <c r="AJ55" s="1045"/>
    </row>
    <row r="56" spans="1:36" s="653" customFormat="1" ht="15" customHeight="1">
      <c r="A56" s="1050" t="s">
        <v>352</v>
      </c>
      <c r="B56" s="651" t="s">
        <v>316</v>
      </c>
      <c r="C56" s="1172" t="s">
        <v>353</v>
      </c>
      <c r="D56" s="1173"/>
      <c r="E56" s="1173"/>
      <c r="F56" s="1173"/>
      <c r="G56" s="1173"/>
      <c r="H56" s="1173"/>
      <c r="I56" s="1173"/>
      <c r="J56" s="1173"/>
      <c r="K56" s="1174"/>
      <c r="X56" s="652"/>
      <c r="Y56" s="1042"/>
      <c r="AH56" s="1045" t="s">
        <v>346</v>
      </c>
      <c r="AI56" s="1045"/>
      <c r="AJ56" s="1045"/>
    </row>
    <row r="57" spans="1:36" s="653" customFormat="1" ht="16.5" customHeight="1">
      <c r="A57" s="1050" t="s">
        <v>354</v>
      </c>
      <c r="B57" s="650" t="s">
        <v>316</v>
      </c>
      <c r="C57" s="1172" t="s">
        <v>355</v>
      </c>
      <c r="D57" s="1173"/>
      <c r="E57" s="1173"/>
      <c r="F57" s="1173"/>
      <c r="G57" s="1173"/>
      <c r="H57" s="1173"/>
      <c r="I57" s="1173"/>
      <c r="J57" s="1173"/>
      <c r="K57" s="1174"/>
      <c r="X57" s="652"/>
      <c r="Y57" s="1042"/>
      <c r="AH57" s="1043" t="s">
        <v>349</v>
      </c>
      <c r="AI57" s="1043"/>
      <c r="AJ57" s="1043"/>
    </row>
    <row r="58" spans="1:36" s="653" customFormat="1" ht="17.25" customHeight="1" thickBot="1">
      <c r="A58" s="1052" t="s">
        <v>356</v>
      </c>
      <c r="B58" s="1053" t="s">
        <v>316</v>
      </c>
      <c r="C58" s="1176" t="s">
        <v>357</v>
      </c>
      <c r="D58" s="1177"/>
      <c r="E58" s="1177"/>
      <c r="F58" s="1177"/>
      <c r="G58" s="1177"/>
      <c r="H58" s="1177"/>
      <c r="I58" s="1177"/>
      <c r="J58" s="1177"/>
      <c r="K58" s="1178"/>
    </row>
    <row r="59" spans="1:36" s="653" customFormat="1" ht="99" customHeight="1" thickTop="1">
      <c r="C59" s="647"/>
      <c r="D59" s="456"/>
      <c r="E59" s="456"/>
      <c r="F59" s="456"/>
      <c r="G59" s="456"/>
      <c r="H59" s="456"/>
      <c r="I59" s="456"/>
      <c r="J59" s="456"/>
      <c r="K59" s="456"/>
    </row>
    <row r="60" spans="1:36">
      <c r="A60" s="653"/>
      <c r="B60" s="653"/>
      <c r="C60" s="647"/>
    </row>
    <row r="61" spans="1:36">
      <c r="A61" s="653"/>
      <c r="B61" s="653"/>
      <c r="C61" s="647"/>
    </row>
    <row r="62" spans="1:36">
      <c r="A62" s="653"/>
      <c r="B62" s="653"/>
      <c r="C62" s="647"/>
    </row>
    <row r="63" spans="1:36">
      <c r="A63" s="653"/>
      <c r="B63" s="653"/>
      <c r="C63" s="647"/>
    </row>
    <row r="64" spans="1:36">
      <c r="A64" s="653"/>
      <c r="B64" s="653"/>
      <c r="C64" s="647"/>
    </row>
    <row r="65" spans="1:3">
      <c r="A65" s="653"/>
      <c r="B65" s="653"/>
      <c r="C65" s="647"/>
    </row>
    <row r="66" spans="1:3">
      <c r="A66" s="653"/>
      <c r="B66" s="653"/>
      <c r="C66" s="647"/>
    </row>
    <row r="67" spans="1:3">
      <c r="C67" s="647"/>
    </row>
    <row r="68" spans="1:3">
      <c r="C68" s="647"/>
    </row>
    <row r="69" spans="1:3">
      <c r="C69" s="647"/>
    </row>
    <row r="70" spans="1:3">
      <c r="C70" s="647"/>
    </row>
    <row r="71" spans="1:3">
      <c r="C71" s="647"/>
    </row>
    <row r="72" spans="1:3">
      <c r="C72" s="647"/>
    </row>
    <row r="73" spans="1:3">
      <c r="C73" s="647"/>
    </row>
    <row r="74" spans="1:3">
      <c r="C74" s="647"/>
    </row>
    <row r="75" spans="1:3">
      <c r="C75" s="647"/>
    </row>
    <row r="76" spans="1:3">
      <c r="C76" s="647"/>
    </row>
    <row r="77" spans="1:3">
      <c r="C77" s="647"/>
    </row>
    <row r="78" spans="1:3">
      <c r="C78" s="647"/>
    </row>
    <row r="79" spans="1:3">
      <c r="C79" s="647"/>
    </row>
    <row r="80" spans="1:3">
      <c r="C80" s="647"/>
    </row>
    <row r="81" spans="3:3">
      <c r="C81" s="647"/>
    </row>
    <row r="82" spans="3:3">
      <c r="C82" s="647"/>
    </row>
    <row r="83" spans="3:3">
      <c r="C83" s="647"/>
    </row>
    <row r="84" spans="3:3">
      <c r="C84" s="647"/>
    </row>
    <row r="85" spans="3:3">
      <c r="C85" s="647"/>
    </row>
    <row r="86" spans="3:3">
      <c r="C86" s="647"/>
    </row>
    <row r="87" spans="3:3">
      <c r="C87" s="647"/>
    </row>
    <row r="88" spans="3:3">
      <c r="C88" s="647"/>
    </row>
    <row r="89" spans="3:3">
      <c r="C89" s="647"/>
    </row>
    <row r="90" spans="3:3">
      <c r="C90" s="647"/>
    </row>
    <row r="91" spans="3:3">
      <c r="C91" s="647"/>
    </row>
    <row r="92" spans="3:3">
      <c r="C92" s="647"/>
    </row>
    <row r="93" spans="3:3">
      <c r="C93" s="647"/>
    </row>
    <row r="94" spans="3:3">
      <c r="C94" s="647"/>
    </row>
    <row r="95" spans="3:3">
      <c r="C95" s="647"/>
    </row>
    <row r="96" spans="3:3">
      <c r="C96" s="647"/>
    </row>
    <row r="97" spans="3:3">
      <c r="C97" s="647"/>
    </row>
    <row r="98" spans="3:3">
      <c r="C98" s="647"/>
    </row>
    <row r="99" spans="3:3">
      <c r="C99" s="647"/>
    </row>
    <row r="100" spans="3:3">
      <c r="C100" s="647"/>
    </row>
    <row r="101" spans="3:3">
      <c r="C101" s="647"/>
    </row>
    <row r="102" spans="3:3">
      <c r="C102" s="647"/>
    </row>
    <row r="103" spans="3:3">
      <c r="C103" s="647"/>
    </row>
    <row r="104" spans="3:3">
      <c r="C104" s="647"/>
    </row>
    <row r="105" spans="3:3">
      <c r="C105" s="647"/>
    </row>
    <row r="106" spans="3:3">
      <c r="C106" s="647"/>
    </row>
    <row r="107" spans="3:3">
      <c r="C107" s="647"/>
    </row>
    <row r="108" spans="3:3">
      <c r="C108" s="647"/>
    </row>
    <row r="109" spans="3:3">
      <c r="C109" s="647"/>
    </row>
    <row r="110" spans="3:3">
      <c r="C110" s="647"/>
    </row>
    <row r="111" spans="3:3">
      <c r="C111" s="647"/>
    </row>
    <row r="112" spans="3:3">
      <c r="C112" s="647"/>
    </row>
    <row r="113" spans="3:3">
      <c r="C113" s="647"/>
    </row>
    <row r="114" spans="3:3">
      <c r="C114" s="647"/>
    </row>
    <row r="115" spans="3:3">
      <c r="C115" s="647"/>
    </row>
    <row r="116" spans="3:3">
      <c r="C116" s="647"/>
    </row>
    <row r="117" spans="3:3">
      <c r="C117" s="647"/>
    </row>
    <row r="118" spans="3:3">
      <c r="C118" s="647"/>
    </row>
    <row r="119" spans="3:3">
      <c r="C119" s="647"/>
    </row>
    <row r="120" spans="3:3">
      <c r="C120" s="647"/>
    </row>
    <row r="121" spans="3:3">
      <c r="C121" s="647"/>
    </row>
    <row r="122" spans="3:3">
      <c r="C122" s="647"/>
    </row>
    <row r="123" spans="3:3">
      <c r="C123" s="647"/>
    </row>
    <row r="124" spans="3:3">
      <c r="C124" s="647"/>
    </row>
    <row r="125" spans="3:3">
      <c r="C125" s="647"/>
    </row>
    <row r="126" spans="3:3">
      <c r="C126" s="647"/>
    </row>
    <row r="127" spans="3:3">
      <c r="C127" s="647"/>
    </row>
    <row r="128" spans="3:3">
      <c r="C128" s="647"/>
    </row>
    <row r="129" spans="3:3">
      <c r="C129" s="647"/>
    </row>
    <row r="130" spans="3:3">
      <c r="C130" s="647"/>
    </row>
    <row r="131" spans="3:3">
      <c r="C131" s="647"/>
    </row>
    <row r="132" spans="3:3">
      <c r="C132" s="647"/>
    </row>
    <row r="133" spans="3:3">
      <c r="C133" s="647"/>
    </row>
    <row r="134" spans="3:3">
      <c r="C134" s="647"/>
    </row>
    <row r="135" spans="3:3">
      <c r="C135" s="647"/>
    </row>
    <row r="136" spans="3:3">
      <c r="C136" s="647"/>
    </row>
    <row r="137" spans="3:3">
      <c r="C137" s="647"/>
    </row>
    <row r="138" spans="3:3">
      <c r="C138" s="647"/>
    </row>
    <row r="139" spans="3:3">
      <c r="C139" s="647"/>
    </row>
    <row r="140" spans="3:3">
      <c r="C140" s="647"/>
    </row>
    <row r="141" spans="3:3">
      <c r="C141" s="647"/>
    </row>
    <row r="142" spans="3:3">
      <c r="C142" s="647"/>
    </row>
    <row r="143" spans="3:3">
      <c r="C143" s="647"/>
    </row>
    <row r="144" spans="3:3">
      <c r="C144" s="647"/>
    </row>
    <row r="145" spans="3:3">
      <c r="C145" s="647"/>
    </row>
    <row r="146" spans="3:3">
      <c r="C146" s="647"/>
    </row>
    <row r="147" spans="3:3">
      <c r="C147" s="647"/>
    </row>
    <row r="148" spans="3:3">
      <c r="C148" s="647"/>
    </row>
    <row r="149" spans="3:3">
      <c r="C149" s="647"/>
    </row>
    <row r="150" spans="3:3">
      <c r="C150" s="647"/>
    </row>
    <row r="151" spans="3:3">
      <c r="C151" s="647"/>
    </row>
    <row r="152" spans="3:3">
      <c r="C152" s="647"/>
    </row>
    <row r="153" spans="3:3">
      <c r="C153" s="647"/>
    </row>
    <row r="154" spans="3:3">
      <c r="C154" s="647"/>
    </row>
    <row r="155" spans="3:3">
      <c r="C155" s="647"/>
    </row>
    <row r="156" spans="3:3">
      <c r="C156" s="647"/>
    </row>
    <row r="157" spans="3:3">
      <c r="C157" s="647"/>
    </row>
    <row r="158" spans="3:3">
      <c r="C158" s="647"/>
    </row>
    <row r="159" spans="3:3">
      <c r="C159" s="647"/>
    </row>
    <row r="160" spans="3:3">
      <c r="C160" s="647"/>
    </row>
    <row r="161" spans="3:3">
      <c r="C161" s="647"/>
    </row>
    <row r="162" spans="3:3">
      <c r="C162" s="647"/>
    </row>
    <row r="163" spans="3:3">
      <c r="C163" s="647"/>
    </row>
    <row r="164" spans="3:3">
      <c r="C164" s="647"/>
    </row>
    <row r="165" spans="3:3">
      <c r="C165" s="647"/>
    </row>
    <row r="166" spans="3:3">
      <c r="C166" s="647"/>
    </row>
    <row r="167" spans="3:3">
      <c r="C167" s="647"/>
    </row>
    <row r="168" spans="3:3">
      <c r="C168" s="647"/>
    </row>
    <row r="169" spans="3:3">
      <c r="C169" s="647"/>
    </row>
    <row r="170" spans="3:3">
      <c r="C170" s="647"/>
    </row>
    <row r="171" spans="3:3">
      <c r="C171" s="647"/>
    </row>
    <row r="172" spans="3:3">
      <c r="C172" s="647"/>
    </row>
    <row r="173" spans="3:3">
      <c r="C173" s="647"/>
    </row>
    <row r="174" spans="3:3">
      <c r="C174" s="647"/>
    </row>
    <row r="175" spans="3:3">
      <c r="C175" s="647"/>
    </row>
    <row r="176" spans="3:3">
      <c r="C176" s="647"/>
    </row>
    <row r="177" spans="3:3">
      <c r="C177" s="647"/>
    </row>
    <row r="178" spans="3:3">
      <c r="C178" s="647"/>
    </row>
    <row r="179" spans="3:3">
      <c r="C179" s="647"/>
    </row>
    <row r="180" spans="3:3">
      <c r="C180" s="647"/>
    </row>
    <row r="181" spans="3:3">
      <c r="C181" s="647"/>
    </row>
    <row r="182" spans="3:3">
      <c r="C182" s="647"/>
    </row>
    <row r="183" spans="3:3">
      <c r="C183" s="647"/>
    </row>
    <row r="184" spans="3:3">
      <c r="C184" s="647"/>
    </row>
    <row r="185" spans="3:3">
      <c r="C185" s="647"/>
    </row>
    <row r="186" spans="3:3">
      <c r="C186" s="647"/>
    </row>
    <row r="187" spans="3:3">
      <c r="C187" s="647"/>
    </row>
    <row r="188" spans="3:3">
      <c r="C188" s="647"/>
    </row>
    <row r="189" spans="3:3">
      <c r="C189" s="647"/>
    </row>
    <row r="190" spans="3:3">
      <c r="C190" s="647"/>
    </row>
    <row r="191" spans="3:3">
      <c r="C191" s="647"/>
    </row>
    <row r="192" spans="3:3">
      <c r="C192" s="647"/>
    </row>
    <row r="193" spans="3:3">
      <c r="C193" s="647"/>
    </row>
    <row r="194" spans="3:3">
      <c r="C194" s="647"/>
    </row>
    <row r="195" spans="3:3">
      <c r="C195" s="647"/>
    </row>
    <row r="196" spans="3:3">
      <c r="C196" s="647"/>
    </row>
    <row r="197" spans="3:3">
      <c r="C197" s="647"/>
    </row>
    <row r="198" spans="3:3">
      <c r="C198" s="647"/>
    </row>
    <row r="199" spans="3:3">
      <c r="C199" s="647"/>
    </row>
    <row r="200" spans="3:3">
      <c r="C200" s="647"/>
    </row>
    <row r="201" spans="3:3">
      <c r="C201" s="647"/>
    </row>
    <row r="202" spans="3:3">
      <c r="C202" s="647"/>
    </row>
    <row r="203" spans="3:3">
      <c r="C203" s="647"/>
    </row>
    <row r="204" spans="3:3"/>
    <row r="205" spans="3:3"/>
    <row r="206" spans="3:3"/>
    <row r="207" spans="3:3"/>
    <row r="208" spans="3:3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</sheetData>
  <sheetProtection algorithmName="SHA-512" hashValue="yp1WL8XAJ5vPc3S89DJkzGWLLLgnwzw3z1SniVfisK4Jg4EtMDHtDC5EIyxBPjvPjLyMtyea4Ee1Fagmnaj0ww==" saltValue="piMQoV8/3dJ1GV1p3z5KEQ==" spinCount="100000" sheet="1" formatCells="0" formatColumns="0" formatRows="0"/>
  <mergeCells count="19">
    <mergeCell ref="C56:K56"/>
    <mergeCell ref="C57:K57"/>
    <mergeCell ref="C58:K58"/>
    <mergeCell ref="C51:K51"/>
    <mergeCell ref="C52:K52"/>
    <mergeCell ref="C53:K53"/>
    <mergeCell ref="C54:K54"/>
    <mergeCell ref="C55:K55"/>
    <mergeCell ref="C40:K40"/>
    <mergeCell ref="C47:K47"/>
    <mergeCell ref="C44:K44"/>
    <mergeCell ref="C46:K46"/>
    <mergeCell ref="C50:K50"/>
    <mergeCell ref="C48:K48"/>
    <mergeCell ref="C49:K49"/>
    <mergeCell ref="C45:K45"/>
    <mergeCell ref="C43:K43"/>
    <mergeCell ref="C42:K42"/>
    <mergeCell ref="C41:K41"/>
  </mergeCells>
  <hyperlinks>
    <hyperlink ref="C24" r:id="rId1" xr:uid="{F4A3529E-ED2B-4183-97DD-5D0CC6C980C8}"/>
    <hyperlink ref="C25" r:id="rId2" xr:uid="{61C307F8-45C1-441B-BF1C-08FE08E9F13C}"/>
    <hyperlink ref="C22" r:id="rId3" xr:uid="{850647EF-8F53-4A03-AC75-B858027C1F1E}"/>
    <hyperlink ref="C17" r:id="rId4" xr:uid="{59D7442A-6020-43C2-8925-D84F701E01CE}"/>
    <hyperlink ref="C18" r:id="rId5" display="mailto:%20jugend1@dav-altdorf.de" xr:uid="{0DE397B8-248D-4E9A-AF13-95013F2A4EB8}"/>
    <hyperlink ref="C19" r:id="rId6" xr:uid="{86319C67-2A39-4FB9-83C4-E31052C0DE7D}"/>
    <hyperlink ref="C20" r:id="rId7" xr:uid="{02893A59-331C-4E49-B1AB-C58E3FE7079A}"/>
    <hyperlink ref="C21" r:id="rId8" xr:uid="{B41E24DC-4CC3-4377-8B0C-E30521FBA5C7}"/>
    <hyperlink ref="C23" r:id="rId9" xr:uid="{43054910-9F38-4DE6-B6E8-A7A94767A43F}"/>
    <hyperlink ref="C26" r:id="rId10" xr:uid="{648F5217-6CD7-46E5-B9B2-E83F4FC362F4}"/>
    <hyperlink ref="C28" r:id="rId11" xr:uid="{3A32D013-769F-4FEB-81AF-FE202B972ED3}"/>
    <hyperlink ref="C27" r:id="rId12" xr:uid="{D56A8A14-0B0C-4108-8DFD-2B409D5DB955}"/>
    <hyperlink ref="C16" r:id="rId13" xr:uid="{0E2540FC-7081-4221-9992-E901B394EC44}"/>
    <hyperlink ref="C29" r:id="rId14" xr:uid="{DD67812F-5F90-4C4C-9981-93D63B95EE60}"/>
    <hyperlink ref="C30" r:id="rId15" xr:uid="{E868D9FF-7A35-448F-92B1-2DC3D803B88B}"/>
    <hyperlink ref="C31" r:id="rId16" xr:uid="{5D26B3B7-DECF-4965-B3B3-9ABBE20C9A26}"/>
    <hyperlink ref="C1" r:id="rId17" xr:uid="{A67F0648-58C3-412F-BB35-7166E0349B09}"/>
  </hyperlinks>
  <pageMargins left="0.7" right="0.7" top="0.78740157499999996" bottom="0.78740157499999996" header="0.3" footer="0.3"/>
  <pageSetup paperSize="9" scale="58" orientation="landscape" r:id="rId18"/>
  <colBreaks count="1" manualBreakCount="1">
    <brk id="18" max="1048575" man="1"/>
  </colBreaks>
  <ignoredErrors>
    <ignoredError sqref="D12" numberStoredAsText="1"/>
  </ignoredErrors>
  <drawing r:id="rId19"/>
  <legacy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8676-6248-49E0-9004-B44E7CF8B91C}">
  <sheetPr codeName="Tabelle2">
    <tabColor rgb="FFFFC000"/>
    <pageSetUpPr fitToPage="1"/>
  </sheetPr>
  <dimension ref="A1:P44"/>
  <sheetViews>
    <sheetView zoomScaleNormal="100" zoomScalePageLayoutView="50" workbookViewId="0">
      <selection activeCell="B15" sqref="B15"/>
    </sheetView>
  </sheetViews>
  <sheetFormatPr defaultColWidth="11.42578125" defaultRowHeight="12.75"/>
  <cols>
    <col min="1" max="1" width="27.7109375" style="314" customWidth="1"/>
    <col min="2" max="3" width="9.7109375" style="314" customWidth="1"/>
    <col min="4" max="4" width="9.28515625" style="314" bestFit="1" customWidth="1"/>
    <col min="5" max="5" width="10" style="314" customWidth="1"/>
    <col min="6" max="7" width="10.140625" style="314" bestFit="1" customWidth="1"/>
    <col min="8" max="8" width="2.5703125" style="314" customWidth="1"/>
    <col min="9" max="9" width="27.7109375" style="314" customWidth="1"/>
    <col min="10" max="11" width="9.7109375" style="314" customWidth="1"/>
    <col min="12" max="12" width="9.28515625" style="314" bestFit="1" customWidth="1"/>
    <col min="13" max="13" width="10" style="314" customWidth="1"/>
    <col min="14" max="15" width="10.140625" style="314" bestFit="1" customWidth="1"/>
    <col min="16" max="16" width="30" style="314" customWidth="1"/>
    <col min="17" max="256" width="11.42578125" style="314"/>
    <col min="257" max="257" width="27.7109375" style="314" customWidth="1"/>
    <col min="258" max="259" width="9.7109375" style="314" customWidth="1"/>
    <col min="260" max="260" width="9.28515625" style="314" bestFit="1" customWidth="1"/>
    <col min="261" max="261" width="10" style="314" customWidth="1"/>
    <col min="262" max="263" width="10.140625" style="314" bestFit="1" customWidth="1"/>
    <col min="264" max="512" width="11.42578125" style="314"/>
    <col min="513" max="513" width="27.7109375" style="314" customWidth="1"/>
    <col min="514" max="515" width="9.7109375" style="314" customWidth="1"/>
    <col min="516" max="516" width="9.28515625" style="314" bestFit="1" customWidth="1"/>
    <col min="517" max="517" width="10" style="314" customWidth="1"/>
    <col min="518" max="519" width="10.140625" style="314" bestFit="1" customWidth="1"/>
    <col min="520" max="768" width="11.42578125" style="314"/>
    <col min="769" max="769" width="27.7109375" style="314" customWidth="1"/>
    <col min="770" max="771" width="9.7109375" style="314" customWidth="1"/>
    <col min="772" max="772" width="9.28515625" style="314" bestFit="1" customWidth="1"/>
    <col min="773" max="773" width="10" style="314" customWidth="1"/>
    <col min="774" max="775" width="10.140625" style="314" bestFit="1" customWidth="1"/>
    <col min="776" max="1024" width="11.42578125" style="314"/>
    <col min="1025" max="1025" width="27.7109375" style="314" customWidth="1"/>
    <col min="1026" max="1027" width="9.7109375" style="314" customWidth="1"/>
    <col min="1028" max="1028" width="9.28515625" style="314" bestFit="1" customWidth="1"/>
    <col min="1029" max="1029" width="10" style="314" customWidth="1"/>
    <col min="1030" max="1031" width="10.140625" style="314" bestFit="1" customWidth="1"/>
    <col min="1032" max="1280" width="11.42578125" style="314"/>
    <col min="1281" max="1281" width="27.7109375" style="314" customWidth="1"/>
    <col min="1282" max="1283" width="9.7109375" style="314" customWidth="1"/>
    <col min="1284" max="1284" width="9.28515625" style="314" bestFit="1" customWidth="1"/>
    <col min="1285" max="1285" width="10" style="314" customWidth="1"/>
    <col min="1286" max="1287" width="10.140625" style="314" bestFit="1" customWidth="1"/>
    <col min="1288" max="1536" width="11.42578125" style="314"/>
    <col min="1537" max="1537" width="27.7109375" style="314" customWidth="1"/>
    <col min="1538" max="1539" width="9.7109375" style="314" customWidth="1"/>
    <col min="1540" max="1540" width="9.28515625" style="314" bestFit="1" customWidth="1"/>
    <col min="1541" max="1541" width="10" style="314" customWidth="1"/>
    <col min="1542" max="1543" width="10.140625" style="314" bestFit="1" customWidth="1"/>
    <col min="1544" max="1792" width="11.42578125" style="314"/>
    <col min="1793" max="1793" width="27.7109375" style="314" customWidth="1"/>
    <col min="1794" max="1795" width="9.7109375" style="314" customWidth="1"/>
    <col min="1796" max="1796" width="9.28515625" style="314" bestFit="1" customWidth="1"/>
    <col min="1797" max="1797" width="10" style="314" customWidth="1"/>
    <col min="1798" max="1799" width="10.140625" style="314" bestFit="1" customWidth="1"/>
    <col min="1800" max="2048" width="11.42578125" style="314"/>
    <col min="2049" max="2049" width="27.7109375" style="314" customWidth="1"/>
    <col min="2050" max="2051" width="9.7109375" style="314" customWidth="1"/>
    <col min="2052" max="2052" width="9.28515625" style="314" bestFit="1" customWidth="1"/>
    <col min="2053" max="2053" width="10" style="314" customWidth="1"/>
    <col min="2054" max="2055" width="10.140625" style="314" bestFit="1" customWidth="1"/>
    <col min="2056" max="2304" width="11.42578125" style="314"/>
    <col min="2305" max="2305" width="27.7109375" style="314" customWidth="1"/>
    <col min="2306" max="2307" width="9.7109375" style="314" customWidth="1"/>
    <col min="2308" max="2308" width="9.28515625" style="314" bestFit="1" customWidth="1"/>
    <col min="2309" max="2309" width="10" style="314" customWidth="1"/>
    <col min="2310" max="2311" width="10.140625" style="314" bestFit="1" customWidth="1"/>
    <col min="2312" max="2560" width="11.42578125" style="314"/>
    <col min="2561" max="2561" width="27.7109375" style="314" customWidth="1"/>
    <col min="2562" max="2563" width="9.7109375" style="314" customWidth="1"/>
    <col min="2564" max="2564" width="9.28515625" style="314" bestFit="1" customWidth="1"/>
    <col min="2565" max="2565" width="10" style="314" customWidth="1"/>
    <col min="2566" max="2567" width="10.140625" style="314" bestFit="1" customWidth="1"/>
    <col min="2568" max="2816" width="11.42578125" style="314"/>
    <col min="2817" max="2817" width="27.7109375" style="314" customWidth="1"/>
    <col min="2818" max="2819" width="9.7109375" style="314" customWidth="1"/>
    <col min="2820" max="2820" width="9.28515625" style="314" bestFit="1" customWidth="1"/>
    <col min="2821" max="2821" width="10" style="314" customWidth="1"/>
    <col min="2822" max="2823" width="10.140625" style="314" bestFit="1" customWidth="1"/>
    <col min="2824" max="3072" width="11.42578125" style="314"/>
    <col min="3073" max="3073" width="27.7109375" style="314" customWidth="1"/>
    <col min="3074" max="3075" width="9.7109375" style="314" customWidth="1"/>
    <col min="3076" max="3076" width="9.28515625" style="314" bestFit="1" customWidth="1"/>
    <col min="3077" max="3077" width="10" style="314" customWidth="1"/>
    <col min="3078" max="3079" width="10.140625" style="314" bestFit="1" customWidth="1"/>
    <col min="3080" max="3328" width="11.42578125" style="314"/>
    <col min="3329" max="3329" width="27.7109375" style="314" customWidth="1"/>
    <col min="3330" max="3331" width="9.7109375" style="314" customWidth="1"/>
    <col min="3332" max="3332" width="9.28515625" style="314" bestFit="1" customWidth="1"/>
    <col min="3333" max="3333" width="10" style="314" customWidth="1"/>
    <col min="3334" max="3335" width="10.140625" style="314" bestFit="1" customWidth="1"/>
    <col min="3336" max="3584" width="11.42578125" style="314"/>
    <col min="3585" max="3585" width="27.7109375" style="314" customWidth="1"/>
    <col min="3586" max="3587" width="9.7109375" style="314" customWidth="1"/>
    <col min="3588" max="3588" width="9.28515625" style="314" bestFit="1" customWidth="1"/>
    <col min="3589" max="3589" width="10" style="314" customWidth="1"/>
    <col min="3590" max="3591" width="10.140625" style="314" bestFit="1" customWidth="1"/>
    <col min="3592" max="3840" width="11.42578125" style="314"/>
    <col min="3841" max="3841" width="27.7109375" style="314" customWidth="1"/>
    <col min="3842" max="3843" width="9.7109375" style="314" customWidth="1"/>
    <col min="3844" max="3844" width="9.28515625" style="314" bestFit="1" customWidth="1"/>
    <col min="3845" max="3845" width="10" style="314" customWidth="1"/>
    <col min="3846" max="3847" width="10.140625" style="314" bestFit="1" customWidth="1"/>
    <col min="3848" max="4096" width="11.42578125" style="314"/>
    <col min="4097" max="4097" width="27.7109375" style="314" customWidth="1"/>
    <col min="4098" max="4099" width="9.7109375" style="314" customWidth="1"/>
    <col min="4100" max="4100" width="9.28515625" style="314" bestFit="1" customWidth="1"/>
    <col min="4101" max="4101" width="10" style="314" customWidth="1"/>
    <col min="4102" max="4103" width="10.140625" style="314" bestFit="1" customWidth="1"/>
    <col min="4104" max="4352" width="11.42578125" style="314"/>
    <col min="4353" max="4353" width="27.7109375" style="314" customWidth="1"/>
    <col min="4354" max="4355" width="9.7109375" style="314" customWidth="1"/>
    <col min="4356" max="4356" width="9.28515625" style="314" bestFit="1" customWidth="1"/>
    <col min="4357" max="4357" width="10" style="314" customWidth="1"/>
    <col min="4358" max="4359" width="10.140625" style="314" bestFit="1" customWidth="1"/>
    <col min="4360" max="4608" width="11.42578125" style="314"/>
    <col min="4609" max="4609" width="27.7109375" style="314" customWidth="1"/>
    <col min="4610" max="4611" width="9.7109375" style="314" customWidth="1"/>
    <col min="4612" max="4612" width="9.28515625" style="314" bestFit="1" customWidth="1"/>
    <col min="4613" max="4613" width="10" style="314" customWidth="1"/>
    <col min="4614" max="4615" width="10.140625" style="314" bestFit="1" customWidth="1"/>
    <col min="4616" max="4864" width="11.42578125" style="314"/>
    <col min="4865" max="4865" width="27.7109375" style="314" customWidth="1"/>
    <col min="4866" max="4867" width="9.7109375" style="314" customWidth="1"/>
    <col min="4868" max="4868" width="9.28515625" style="314" bestFit="1" customWidth="1"/>
    <col min="4869" max="4869" width="10" style="314" customWidth="1"/>
    <col min="4870" max="4871" width="10.140625" style="314" bestFit="1" customWidth="1"/>
    <col min="4872" max="5120" width="11.42578125" style="314"/>
    <col min="5121" max="5121" width="27.7109375" style="314" customWidth="1"/>
    <col min="5122" max="5123" width="9.7109375" style="314" customWidth="1"/>
    <col min="5124" max="5124" width="9.28515625" style="314" bestFit="1" customWidth="1"/>
    <col min="5125" max="5125" width="10" style="314" customWidth="1"/>
    <col min="5126" max="5127" width="10.140625" style="314" bestFit="1" customWidth="1"/>
    <col min="5128" max="5376" width="11.42578125" style="314"/>
    <col min="5377" max="5377" width="27.7109375" style="314" customWidth="1"/>
    <col min="5378" max="5379" width="9.7109375" style="314" customWidth="1"/>
    <col min="5380" max="5380" width="9.28515625" style="314" bestFit="1" customWidth="1"/>
    <col min="5381" max="5381" width="10" style="314" customWidth="1"/>
    <col min="5382" max="5383" width="10.140625" style="314" bestFit="1" customWidth="1"/>
    <col min="5384" max="5632" width="11.42578125" style="314"/>
    <col min="5633" max="5633" width="27.7109375" style="314" customWidth="1"/>
    <col min="5634" max="5635" width="9.7109375" style="314" customWidth="1"/>
    <col min="5636" max="5636" width="9.28515625" style="314" bestFit="1" customWidth="1"/>
    <col min="5637" max="5637" width="10" style="314" customWidth="1"/>
    <col min="5638" max="5639" width="10.140625" style="314" bestFit="1" customWidth="1"/>
    <col min="5640" max="5888" width="11.42578125" style="314"/>
    <col min="5889" max="5889" width="27.7109375" style="314" customWidth="1"/>
    <col min="5890" max="5891" width="9.7109375" style="314" customWidth="1"/>
    <col min="5892" max="5892" width="9.28515625" style="314" bestFit="1" customWidth="1"/>
    <col min="5893" max="5893" width="10" style="314" customWidth="1"/>
    <col min="5894" max="5895" width="10.140625" style="314" bestFit="1" customWidth="1"/>
    <col min="5896" max="6144" width="11.42578125" style="314"/>
    <col min="6145" max="6145" width="27.7109375" style="314" customWidth="1"/>
    <col min="6146" max="6147" width="9.7109375" style="314" customWidth="1"/>
    <col min="6148" max="6148" width="9.28515625" style="314" bestFit="1" customWidth="1"/>
    <col min="6149" max="6149" width="10" style="314" customWidth="1"/>
    <col min="6150" max="6151" width="10.140625" style="314" bestFit="1" customWidth="1"/>
    <col min="6152" max="6400" width="11.42578125" style="314"/>
    <col min="6401" max="6401" width="27.7109375" style="314" customWidth="1"/>
    <col min="6402" max="6403" width="9.7109375" style="314" customWidth="1"/>
    <col min="6404" max="6404" width="9.28515625" style="314" bestFit="1" customWidth="1"/>
    <col min="6405" max="6405" width="10" style="314" customWidth="1"/>
    <col min="6406" max="6407" width="10.140625" style="314" bestFit="1" customWidth="1"/>
    <col min="6408" max="6656" width="11.42578125" style="314"/>
    <col min="6657" max="6657" width="27.7109375" style="314" customWidth="1"/>
    <col min="6658" max="6659" width="9.7109375" style="314" customWidth="1"/>
    <col min="6660" max="6660" width="9.28515625" style="314" bestFit="1" customWidth="1"/>
    <col min="6661" max="6661" width="10" style="314" customWidth="1"/>
    <col min="6662" max="6663" width="10.140625" style="314" bestFit="1" customWidth="1"/>
    <col min="6664" max="6912" width="11.42578125" style="314"/>
    <col min="6913" max="6913" width="27.7109375" style="314" customWidth="1"/>
    <col min="6914" max="6915" width="9.7109375" style="314" customWidth="1"/>
    <col min="6916" max="6916" width="9.28515625" style="314" bestFit="1" customWidth="1"/>
    <col min="6917" max="6917" width="10" style="314" customWidth="1"/>
    <col min="6918" max="6919" width="10.140625" style="314" bestFit="1" customWidth="1"/>
    <col min="6920" max="7168" width="11.42578125" style="314"/>
    <col min="7169" max="7169" width="27.7109375" style="314" customWidth="1"/>
    <col min="7170" max="7171" width="9.7109375" style="314" customWidth="1"/>
    <col min="7172" max="7172" width="9.28515625" style="314" bestFit="1" customWidth="1"/>
    <col min="7173" max="7173" width="10" style="314" customWidth="1"/>
    <col min="7174" max="7175" width="10.140625" style="314" bestFit="1" customWidth="1"/>
    <col min="7176" max="7424" width="11.42578125" style="314"/>
    <col min="7425" max="7425" width="27.7109375" style="314" customWidth="1"/>
    <col min="7426" max="7427" width="9.7109375" style="314" customWidth="1"/>
    <col min="7428" max="7428" width="9.28515625" style="314" bestFit="1" customWidth="1"/>
    <col min="7429" max="7429" width="10" style="314" customWidth="1"/>
    <col min="7430" max="7431" width="10.140625" style="314" bestFit="1" customWidth="1"/>
    <col min="7432" max="7680" width="11.42578125" style="314"/>
    <col min="7681" max="7681" width="27.7109375" style="314" customWidth="1"/>
    <col min="7682" max="7683" width="9.7109375" style="314" customWidth="1"/>
    <col min="7684" max="7684" width="9.28515625" style="314" bestFit="1" customWidth="1"/>
    <col min="7685" max="7685" width="10" style="314" customWidth="1"/>
    <col min="7686" max="7687" width="10.140625" style="314" bestFit="1" customWidth="1"/>
    <col min="7688" max="7936" width="11.42578125" style="314"/>
    <col min="7937" max="7937" width="27.7109375" style="314" customWidth="1"/>
    <col min="7938" max="7939" width="9.7109375" style="314" customWidth="1"/>
    <col min="7940" max="7940" width="9.28515625" style="314" bestFit="1" customWidth="1"/>
    <col min="7941" max="7941" width="10" style="314" customWidth="1"/>
    <col min="7942" max="7943" width="10.140625" style="314" bestFit="1" customWidth="1"/>
    <col min="7944" max="8192" width="11.42578125" style="314"/>
    <col min="8193" max="8193" width="27.7109375" style="314" customWidth="1"/>
    <col min="8194" max="8195" width="9.7109375" style="314" customWidth="1"/>
    <col min="8196" max="8196" width="9.28515625" style="314" bestFit="1" customWidth="1"/>
    <col min="8197" max="8197" width="10" style="314" customWidth="1"/>
    <col min="8198" max="8199" width="10.140625" style="314" bestFit="1" customWidth="1"/>
    <col min="8200" max="8448" width="11.42578125" style="314"/>
    <col min="8449" max="8449" width="27.7109375" style="314" customWidth="1"/>
    <col min="8450" max="8451" width="9.7109375" style="314" customWidth="1"/>
    <col min="8452" max="8452" width="9.28515625" style="314" bestFit="1" customWidth="1"/>
    <col min="8453" max="8453" width="10" style="314" customWidth="1"/>
    <col min="8454" max="8455" width="10.140625" style="314" bestFit="1" customWidth="1"/>
    <col min="8456" max="8704" width="11.42578125" style="314"/>
    <col min="8705" max="8705" width="27.7109375" style="314" customWidth="1"/>
    <col min="8706" max="8707" width="9.7109375" style="314" customWidth="1"/>
    <col min="8708" max="8708" width="9.28515625" style="314" bestFit="1" customWidth="1"/>
    <col min="8709" max="8709" width="10" style="314" customWidth="1"/>
    <col min="8710" max="8711" width="10.140625" style="314" bestFit="1" customWidth="1"/>
    <col min="8712" max="8960" width="11.42578125" style="314"/>
    <col min="8961" max="8961" width="27.7109375" style="314" customWidth="1"/>
    <col min="8962" max="8963" width="9.7109375" style="314" customWidth="1"/>
    <col min="8964" max="8964" width="9.28515625" style="314" bestFit="1" customWidth="1"/>
    <col min="8965" max="8965" width="10" style="314" customWidth="1"/>
    <col min="8966" max="8967" width="10.140625" style="314" bestFit="1" customWidth="1"/>
    <col min="8968" max="9216" width="11.42578125" style="314"/>
    <col min="9217" max="9217" width="27.7109375" style="314" customWidth="1"/>
    <col min="9218" max="9219" width="9.7109375" style="314" customWidth="1"/>
    <col min="9220" max="9220" width="9.28515625" style="314" bestFit="1" customWidth="1"/>
    <col min="9221" max="9221" width="10" style="314" customWidth="1"/>
    <col min="9222" max="9223" width="10.140625" style="314" bestFit="1" customWidth="1"/>
    <col min="9224" max="9472" width="11.42578125" style="314"/>
    <col min="9473" max="9473" width="27.7109375" style="314" customWidth="1"/>
    <col min="9474" max="9475" width="9.7109375" style="314" customWidth="1"/>
    <col min="9476" max="9476" width="9.28515625" style="314" bestFit="1" customWidth="1"/>
    <col min="9477" max="9477" width="10" style="314" customWidth="1"/>
    <col min="9478" max="9479" width="10.140625" style="314" bestFit="1" customWidth="1"/>
    <col min="9480" max="9728" width="11.42578125" style="314"/>
    <col min="9729" max="9729" width="27.7109375" style="314" customWidth="1"/>
    <col min="9730" max="9731" width="9.7109375" style="314" customWidth="1"/>
    <col min="9732" max="9732" width="9.28515625" style="314" bestFit="1" customWidth="1"/>
    <col min="9733" max="9733" width="10" style="314" customWidth="1"/>
    <col min="9734" max="9735" width="10.140625" style="314" bestFit="1" customWidth="1"/>
    <col min="9736" max="9984" width="11.42578125" style="314"/>
    <col min="9985" max="9985" width="27.7109375" style="314" customWidth="1"/>
    <col min="9986" max="9987" width="9.7109375" style="314" customWidth="1"/>
    <col min="9988" max="9988" width="9.28515625" style="314" bestFit="1" customWidth="1"/>
    <col min="9989" max="9989" width="10" style="314" customWidth="1"/>
    <col min="9990" max="9991" width="10.140625" style="314" bestFit="1" customWidth="1"/>
    <col min="9992" max="10240" width="11.42578125" style="314"/>
    <col min="10241" max="10241" width="27.7109375" style="314" customWidth="1"/>
    <col min="10242" max="10243" width="9.7109375" style="314" customWidth="1"/>
    <col min="10244" max="10244" width="9.28515625" style="314" bestFit="1" customWidth="1"/>
    <col min="10245" max="10245" width="10" style="314" customWidth="1"/>
    <col min="10246" max="10247" width="10.140625" style="314" bestFit="1" customWidth="1"/>
    <col min="10248" max="10496" width="11.42578125" style="314"/>
    <col min="10497" max="10497" width="27.7109375" style="314" customWidth="1"/>
    <col min="10498" max="10499" width="9.7109375" style="314" customWidth="1"/>
    <col min="10500" max="10500" width="9.28515625" style="314" bestFit="1" customWidth="1"/>
    <col min="10501" max="10501" width="10" style="314" customWidth="1"/>
    <col min="10502" max="10503" width="10.140625" style="314" bestFit="1" customWidth="1"/>
    <col min="10504" max="10752" width="11.42578125" style="314"/>
    <col min="10753" max="10753" width="27.7109375" style="314" customWidth="1"/>
    <col min="10754" max="10755" width="9.7109375" style="314" customWidth="1"/>
    <col min="10756" max="10756" width="9.28515625" style="314" bestFit="1" customWidth="1"/>
    <col min="10757" max="10757" width="10" style="314" customWidth="1"/>
    <col min="10758" max="10759" width="10.140625" style="314" bestFit="1" customWidth="1"/>
    <col min="10760" max="11008" width="11.42578125" style="314"/>
    <col min="11009" max="11009" width="27.7109375" style="314" customWidth="1"/>
    <col min="11010" max="11011" width="9.7109375" style="314" customWidth="1"/>
    <col min="11012" max="11012" width="9.28515625" style="314" bestFit="1" customWidth="1"/>
    <col min="11013" max="11013" width="10" style="314" customWidth="1"/>
    <col min="11014" max="11015" width="10.140625" style="314" bestFit="1" customWidth="1"/>
    <col min="11016" max="11264" width="11.42578125" style="314"/>
    <col min="11265" max="11265" width="27.7109375" style="314" customWidth="1"/>
    <col min="11266" max="11267" width="9.7109375" style="314" customWidth="1"/>
    <col min="11268" max="11268" width="9.28515625" style="314" bestFit="1" customWidth="1"/>
    <col min="11269" max="11269" width="10" style="314" customWidth="1"/>
    <col min="11270" max="11271" width="10.140625" style="314" bestFit="1" customWidth="1"/>
    <col min="11272" max="11520" width="11.42578125" style="314"/>
    <col min="11521" max="11521" width="27.7109375" style="314" customWidth="1"/>
    <col min="11522" max="11523" width="9.7109375" style="314" customWidth="1"/>
    <col min="11524" max="11524" width="9.28515625" style="314" bestFit="1" customWidth="1"/>
    <col min="11525" max="11525" width="10" style="314" customWidth="1"/>
    <col min="11526" max="11527" width="10.140625" style="314" bestFit="1" customWidth="1"/>
    <col min="11528" max="11776" width="11.42578125" style="314"/>
    <col min="11777" max="11777" width="27.7109375" style="314" customWidth="1"/>
    <col min="11778" max="11779" width="9.7109375" style="314" customWidth="1"/>
    <col min="11780" max="11780" width="9.28515625" style="314" bestFit="1" customWidth="1"/>
    <col min="11781" max="11781" width="10" style="314" customWidth="1"/>
    <col min="11782" max="11783" width="10.140625" style="314" bestFit="1" customWidth="1"/>
    <col min="11784" max="12032" width="11.42578125" style="314"/>
    <col min="12033" max="12033" width="27.7109375" style="314" customWidth="1"/>
    <col min="12034" max="12035" width="9.7109375" style="314" customWidth="1"/>
    <col min="12036" max="12036" width="9.28515625" style="314" bestFit="1" customWidth="1"/>
    <col min="12037" max="12037" width="10" style="314" customWidth="1"/>
    <col min="12038" max="12039" width="10.140625" style="314" bestFit="1" customWidth="1"/>
    <col min="12040" max="12288" width="11.42578125" style="314"/>
    <col min="12289" max="12289" width="27.7109375" style="314" customWidth="1"/>
    <col min="12290" max="12291" width="9.7109375" style="314" customWidth="1"/>
    <col min="12292" max="12292" width="9.28515625" style="314" bestFit="1" customWidth="1"/>
    <col min="12293" max="12293" width="10" style="314" customWidth="1"/>
    <col min="12294" max="12295" width="10.140625" style="314" bestFit="1" customWidth="1"/>
    <col min="12296" max="12544" width="11.42578125" style="314"/>
    <col min="12545" max="12545" width="27.7109375" style="314" customWidth="1"/>
    <col min="12546" max="12547" width="9.7109375" style="314" customWidth="1"/>
    <col min="12548" max="12548" width="9.28515625" style="314" bestFit="1" customWidth="1"/>
    <col min="12549" max="12549" width="10" style="314" customWidth="1"/>
    <col min="12550" max="12551" width="10.140625" style="314" bestFit="1" customWidth="1"/>
    <col min="12552" max="12800" width="11.42578125" style="314"/>
    <col min="12801" max="12801" width="27.7109375" style="314" customWidth="1"/>
    <col min="12802" max="12803" width="9.7109375" style="314" customWidth="1"/>
    <col min="12804" max="12804" width="9.28515625" style="314" bestFit="1" customWidth="1"/>
    <col min="12805" max="12805" width="10" style="314" customWidth="1"/>
    <col min="12806" max="12807" width="10.140625" style="314" bestFit="1" customWidth="1"/>
    <col min="12808" max="13056" width="11.42578125" style="314"/>
    <col min="13057" max="13057" width="27.7109375" style="314" customWidth="1"/>
    <col min="13058" max="13059" width="9.7109375" style="314" customWidth="1"/>
    <col min="13060" max="13060" width="9.28515625" style="314" bestFit="1" customWidth="1"/>
    <col min="13061" max="13061" width="10" style="314" customWidth="1"/>
    <col min="13062" max="13063" width="10.140625" style="314" bestFit="1" customWidth="1"/>
    <col min="13064" max="13312" width="11.42578125" style="314"/>
    <col min="13313" max="13313" width="27.7109375" style="314" customWidth="1"/>
    <col min="13314" max="13315" width="9.7109375" style="314" customWidth="1"/>
    <col min="13316" max="13316" width="9.28515625" style="314" bestFit="1" customWidth="1"/>
    <col min="13317" max="13317" width="10" style="314" customWidth="1"/>
    <col min="13318" max="13319" width="10.140625" style="314" bestFit="1" customWidth="1"/>
    <col min="13320" max="13568" width="11.42578125" style="314"/>
    <col min="13569" max="13569" width="27.7109375" style="314" customWidth="1"/>
    <col min="13570" max="13571" width="9.7109375" style="314" customWidth="1"/>
    <col min="13572" max="13572" width="9.28515625" style="314" bestFit="1" customWidth="1"/>
    <col min="13573" max="13573" width="10" style="314" customWidth="1"/>
    <col min="13574" max="13575" width="10.140625" style="314" bestFit="1" customWidth="1"/>
    <col min="13576" max="13824" width="11.42578125" style="314"/>
    <col min="13825" max="13825" width="27.7109375" style="314" customWidth="1"/>
    <col min="13826" max="13827" width="9.7109375" style="314" customWidth="1"/>
    <col min="13828" max="13828" width="9.28515625" style="314" bestFit="1" customWidth="1"/>
    <col min="13829" max="13829" width="10" style="314" customWidth="1"/>
    <col min="13830" max="13831" width="10.140625" style="314" bestFit="1" customWidth="1"/>
    <col min="13832" max="14080" width="11.42578125" style="314"/>
    <col min="14081" max="14081" width="27.7109375" style="314" customWidth="1"/>
    <col min="14082" max="14083" width="9.7109375" style="314" customWidth="1"/>
    <col min="14084" max="14084" width="9.28515625" style="314" bestFit="1" customWidth="1"/>
    <col min="14085" max="14085" width="10" style="314" customWidth="1"/>
    <col min="14086" max="14087" width="10.140625" style="314" bestFit="1" customWidth="1"/>
    <col min="14088" max="14336" width="11.42578125" style="314"/>
    <col min="14337" max="14337" width="27.7109375" style="314" customWidth="1"/>
    <col min="14338" max="14339" width="9.7109375" style="314" customWidth="1"/>
    <col min="14340" max="14340" width="9.28515625" style="314" bestFit="1" customWidth="1"/>
    <col min="14341" max="14341" width="10" style="314" customWidth="1"/>
    <col min="14342" max="14343" width="10.140625" style="314" bestFit="1" customWidth="1"/>
    <col min="14344" max="14592" width="11.42578125" style="314"/>
    <col min="14593" max="14593" width="27.7109375" style="314" customWidth="1"/>
    <col min="14594" max="14595" width="9.7109375" style="314" customWidth="1"/>
    <col min="14596" max="14596" width="9.28515625" style="314" bestFit="1" customWidth="1"/>
    <col min="14597" max="14597" width="10" style="314" customWidth="1"/>
    <col min="14598" max="14599" width="10.140625" style="314" bestFit="1" customWidth="1"/>
    <col min="14600" max="14848" width="11.42578125" style="314"/>
    <col min="14849" max="14849" width="27.7109375" style="314" customWidth="1"/>
    <col min="14850" max="14851" width="9.7109375" style="314" customWidth="1"/>
    <col min="14852" max="14852" width="9.28515625" style="314" bestFit="1" customWidth="1"/>
    <col min="14853" max="14853" width="10" style="314" customWidth="1"/>
    <col min="14854" max="14855" width="10.140625" style="314" bestFit="1" customWidth="1"/>
    <col min="14856" max="15104" width="11.42578125" style="314"/>
    <col min="15105" max="15105" width="27.7109375" style="314" customWidth="1"/>
    <col min="15106" max="15107" width="9.7109375" style="314" customWidth="1"/>
    <col min="15108" max="15108" width="9.28515625" style="314" bestFit="1" customWidth="1"/>
    <col min="15109" max="15109" width="10" style="314" customWidth="1"/>
    <col min="15110" max="15111" width="10.140625" style="314" bestFit="1" customWidth="1"/>
    <col min="15112" max="15360" width="11.42578125" style="314"/>
    <col min="15361" max="15361" width="27.7109375" style="314" customWidth="1"/>
    <col min="15362" max="15363" width="9.7109375" style="314" customWidth="1"/>
    <col min="15364" max="15364" width="9.28515625" style="314" bestFit="1" customWidth="1"/>
    <col min="15365" max="15365" width="10" style="314" customWidth="1"/>
    <col min="15366" max="15367" width="10.140625" style="314" bestFit="1" customWidth="1"/>
    <col min="15368" max="15616" width="11.42578125" style="314"/>
    <col min="15617" max="15617" width="27.7109375" style="314" customWidth="1"/>
    <col min="15618" max="15619" width="9.7109375" style="314" customWidth="1"/>
    <col min="15620" max="15620" width="9.28515625" style="314" bestFit="1" customWidth="1"/>
    <col min="15621" max="15621" width="10" style="314" customWidth="1"/>
    <col min="15622" max="15623" width="10.140625" style="314" bestFit="1" customWidth="1"/>
    <col min="15624" max="15872" width="11.42578125" style="314"/>
    <col min="15873" max="15873" width="27.7109375" style="314" customWidth="1"/>
    <col min="15874" max="15875" width="9.7109375" style="314" customWidth="1"/>
    <col min="15876" max="15876" width="9.28515625" style="314" bestFit="1" customWidth="1"/>
    <col min="15877" max="15877" width="10" style="314" customWidth="1"/>
    <col min="15878" max="15879" width="10.140625" style="314" bestFit="1" customWidth="1"/>
    <col min="15880" max="16128" width="11.42578125" style="314"/>
    <col min="16129" max="16129" width="27.7109375" style="314" customWidth="1"/>
    <col min="16130" max="16131" width="9.7109375" style="314" customWidth="1"/>
    <col min="16132" max="16132" width="9.28515625" style="314" bestFit="1" customWidth="1"/>
    <col min="16133" max="16133" width="10" style="314" customWidth="1"/>
    <col min="16134" max="16135" width="10.140625" style="314" bestFit="1" customWidth="1"/>
    <col min="16136" max="16384" width="11.42578125" style="314"/>
  </cols>
  <sheetData>
    <row r="1" spans="1:15" ht="16.5" thickTop="1">
      <c r="A1" s="1194" t="s">
        <v>358</v>
      </c>
      <c r="B1" s="1195"/>
      <c r="C1" s="1195"/>
      <c r="D1" s="1195"/>
      <c r="E1" s="1195"/>
      <c r="F1" s="883"/>
      <c r="G1" s="884"/>
      <c r="I1" s="1194" t="s">
        <v>359</v>
      </c>
      <c r="J1" s="1195"/>
      <c r="K1" s="1195"/>
      <c r="L1" s="1195"/>
      <c r="M1" s="1195"/>
      <c r="N1" s="883"/>
      <c r="O1" s="884"/>
    </row>
    <row r="2" spans="1:15" ht="16.5">
      <c r="A2" s="1270" t="str">
        <f>IF(ISERROR(VLOOKUP(HilfeListe!$AL$16,AnmeldeListe!$D$10:$D$37,1,FALSE)),"keine Orga in Anmeldeliste Zelle D10 festgelegt!","")</f>
        <v/>
      </c>
      <c r="B2" s="1271"/>
      <c r="C2" s="1271"/>
      <c r="D2" s="1271"/>
      <c r="E2" s="885"/>
      <c r="F2" s="885"/>
      <c r="G2" s="886"/>
      <c r="I2" s="1270" t="str">
        <f>IF(ISERROR(VLOOKUP(HilfeListe!$AL$17,AnmeldeListe!$D$10:$D$37,1,FALSE)),"keine Co-Orga in AnmeldeListe Zelle D10 festgelegt","")</f>
        <v>keine Co-Orga in AnmeldeListe Zelle D10 festgelegt</v>
      </c>
      <c r="J2" s="1271"/>
      <c r="K2" s="1271"/>
      <c r="L2" s="1271"/>
      <c r="M2" s="885"/>
      <c r="N2" s="885"/>
      <c r="O2" s="886"/>
    </row>
    <row r="3" spans="1:15" ht="25.15" customHeight="1" thickBot="1">
      <c r="A3" s="1272"/>
      <c r="B3" s="1273"/>
      <c r="C3" s="1273"/>
      <c r="D3" s="1273"/>
      <c r="E3" s="885"/>
      <c r="F3" s="885"/>
      <c r="G3" s="886"/>
      <c r="I3" s="1272"/>
      <c r="J3" s="1273"/>
      <c r="K3" s="1273"/>
      <c r="L3" s="1273"/>
      <c r="M3" s="885"/>
      <c r="N3" s="885"/>
      <c r="O3" s="886"/>
    </row>
    <row r="4" spans="1:15" ht="13.5" thickTop="1">
      <c r="A4" s="899" t="s">
        <v>360</v>
      </c>
      <c r="B4" s="1274" t="str">
        <f>SektionsGruppe</f>
        <v>Bergsteigergruppe</v>
      </c>
      <c r="C4" s="1275"/>
      <c r="D4" s="1276"/>
      <c r="E4" s="900" t="s">
        <v>361</v>
      </c>
      <c r="F4" s="901" t="s">
        <v>362</v>
      </c>
      <c r="G4" s="902" t="s">
        <v>363</v>
      </c>
      <c r="I4" s="899" t="s">
        <v>360</v>
      </c>
      <c r="J4" s="1274" t="str">
        <f>SektionsGruppe</f>
        <v>Bergsteigergruppe</v>
      </c>
      <c r="K4" s="1275"/>
      <c r="L4" s="1276"/>
      <c r="M4" s="900" t="s">
        <v>361</v>
      </c>
      <c r="N4" s="901" t="s">
        <v>362</v>
      </c>
      <c r="O4" s="902" t="s">
        <v>363</v>
      </c>
    </row>
    <row r="5" spans="1:15">
      <c r="A5" s="887" t="s">
        <v>172</v>
      </c>
      <c r="B5" s="1277" t="str">
        <f>TourTitel</f>
        <v>Beispieltour egalwohin oder sowi</v>
      </c>
      <c r="C5" s="1278"/>
      <c r="D5" s="1279"/>
      <c r="E5" s="966" t="str">
        <f>StartZeit</f>
        <v>p.m.</v>
      </c>
      <c r="F5" s="967">
        <f>StartDatum</f>
        <v>45842</v>
      </c>
      <c r="G5" s="968">
        <f>EndeDatum</f>
        <v>45845</v>
      </c>
      <c r="I5" s="887" t="s">
        <v>172</v>
      </c>
      <c r="J5" s="1277" t="str">
        <f>TourTitel</f>
        <v>Beispieltour egalwohin oder sowi</v>
      </c>
      <c r="K5" s="1278"/>
      <c r="L5" s="1279"/>
      <c r="M5" s="966" t="str">
        <f>StartZeit</f>
        <v>p.m.</v>
      </c>
      <c r="N5" s="967">
        <f>StartDatum</f>
        <v>45842</v>
      </c>
      <c r="O5" s="968">
        <f>EndeDatum</f>
        <v>45845</v>
      </c>
    </row>
    <row r="6" spans="1:15">
      <c r="A6" s="888" t="s">
        <v>364</v>
      </c>
      <c r="B6" s="323" t="str">
        <f>OrgaVorname</f>
        <v>VOrga</v>
      </c>
      <c r="C6" s="1258" t="str">
        <f>OrgaNachname</f>
        <v>NOrga</v>
      </c>
      <c r="D6" s="1259"/>
      <c r="E6" s="878" t="s">
        <v>365</v>
      </c>
      <c r="F6" s="1260" t="str">
        <f>BuchungsCode</f>
        <v>bs-2025-xx-xx</v>
      </c>
      <c r="G6" s="1261"/>
      <c r="I6" s="888" t="s">
        <v>366</v>
      </c>
      <c r="J6" s="323" t="str">
        <f>IF(ISERROR(VLOOKUP(HilfeListe!$AL$17,AnmeldeListe!$D$10:$D$37,1,FALSE)),"-",CoOrgaVorname)</f>
        <v>-</v>
      </c>
      <c r="K6" s="1258" t="str">
        <f>IF(ISERROR(VLOOKUP(HilfeListe!$AL$17,AnmeldeListe!$D$10:$D$37,1,FALSE)),"-",CoOrgaNachname)</f>
        <v>-</v>
      </c>
      <c r="L6" s="1259"/>
      <c r="M6" s="878" t="s">
        <v>365</v>
      </c>
      <c r="N6" s="1260" t="str">
        <f>BuchungsCode</f>
        <v>bs-2025-xx-xx</v>
      </c>
      <c r="O6" s="1261"/>
    </row>
    <row r="7" spans="1:15">
      <c r="A7" s="916" t="s">
        <v>367</v>
      </c>
      <c r="B7" s="964">
        <f>IF(G5-F5+(IF(E5=Liste_Startzeit_Nachmittag,0,1))&gt;=5,5,G5-F5+(IF(E5=Liste_Startzeit_Nachmittag,0,1)))</f>
        <v>3</v>
      </c>
      <c r="C7" s="917"/>
      <c r="D7" s="965"/>
      <c r="E7" s="917" t="s">
        <v>368</v>
      </c>
      <c r="F7" s="969">
        <f>G5-F5+1</f>
        <v>4</v>
      </c>
      <c r="G7" s="970"/>
      <c r="I7" s="916" t="s">
        <v>367</v>
      </c>
      <c r="J7" s="964">
        <f>IF(O5-N5+(IF(M5=Liste_Startzeit_Nachmittag,0,1))&gt;=5,5,O5-N5+(IF(M5=Liste_Startzeit_Nachmittag,0,1)))</f>
        <v>3</v>
      </c>
      <c r="K7" s="917"/>
      <c r="L7" s="965"/>
      <c r="M7" s="917" t="s">
        <v>368</v>
      </c>
      <c r="N7" s="969">
        <f>O5-N5+1</f>
        <v>4</v>
      </c>
      <c r="O7" s="970"/>
    </row>
    <row r="8" spans="1:15" ht="24" customHeight="1">
      <c r="A8" s="907" t="s">
        <v>369</v>
      </c>
      <c r="B8" s="876" t="s">
        <v>370</v>
      </c>
      <c r="C8" s="877"/>
      <c r="D8" s="876" t="s">
        <v>371</v>
      </c>
      <c r="E8" s="877"/>
      <c r="F8" s="877" t="s">
        <v>372</v>
      </c>
      <c r="G8" s="889" t="s">
        <v>373</v>
      </c>
      <c r="I8" s="907" t="s">
        <v>369</v>
      </c>
      <c r="J8" s="876" t="s">
        <v>370</v>
      </c>
      <c r="K8" s="877"/>
      <c r="L8" s="876" t="s">
        <v>371</v>
      </c>
      <c r="M8" s="877"/>
      <c r="N8" s="877" t="s">
        <v>372</v>
      </c>
      <c r="O8" s="889" t="s">
        <v>373</v>
      </c>
    </row>
    <row r="9" spans="1:15" ht="15" customHeight="1">
      <c r="A9" s="891" t="s">
        <v>374</v>
      </c>
      <c r="B9" s="964">
        <f>1+IF(ISERROR(VLOOKUP(HilfeListe!AL17,AnmeldeListe!$D$10:$D$37,1,FALSE)),0,1)</f>
        <v>1</v>
      </c>
      <c r="C9" s="908"/>
      <c r="D9" s="909"/>
      <c r="E9" s="909"/>
      <c r="F9" s="964">
        <f>+B9+D9</f>
        <v>1</v>
      </c>
      <c r="G9" s="910"/>
      <c r="I9" s="891" t="s">
        <v>374</v>
      </c>
      <c r="J9" s="964">
        <f>1+IF(ISERROR(VLOOKUP(HilfeListe!AL17,AnmeldeListe!$D$10:$D$37,1,FALSE)),0,1)</f>
        <v>1</v>
      </c>
      <c r="K9" s="908"/>
      <c r="L9" s="909"/>
      <c r="M9" s="909"/>
      <c r="N9" s="964">
        <f>+J9+L9</f>
        <v>1</v>
      </c>
      <c r="O9" s="910"/>
    </row>
    <row r="10" spans="1:15" ht="15" customHeight="1">
      <c r="A10" s="891" t="s">
        <v>375</v>
      </c>
      <c r="B10" s="973">
        <f>AnzTeiln-B9-D10</f>
        <v>0</v>
      </c>
      <c r="C10" s="943">
        <f>HilfeListe!$E$16</f>
        <v>5</v>
      </c>
      <c r="D10" s="973">
        <f>AnzTeiln-COUNTIF(AnmeldeListe!$E$10:$E$37,TRUE)</f>
        <v>0</v>
      </c>
      <c r="E10" s="943">
        <f>HilfeListe!$E$18</f>
        <v>10</v>
      </c>
      <c r="F10" s="964">
        <f>+B10+D10</f>
        <v>0</v>
      </c>
      <c r="G10" s="971">
        <f>B7*B10*C10+B7*D10*E10</f>
        <v>0</v>
      </c>
      <c r="I10" s="891" t="s">
        <v>375</v>
      </c>
      <c r="J10" s="973">
        <f>AnzTeiln-J9-L10</f>
        <v>0</v>
      </c>
      <c r="K10" s="943">
        <f>HilfeListe!$E$16</f>
        <v>5</v>
      </c>
      <c r="L10" s="973">
        <f>AnzTeiln-COUNTIF(AnmeldeListe!$E$10:$E$37,TRUE)</f>
        <v>0</v>
      </c>
      <c r="M10" s="943">
        <f>HilfeListe!$E$18</f>
        <v>10</v>
      </c>
      <c r="N10" s="964">
        <f>+J10+L10</f>
        <v>0</v>
      </c>
      <c r="O10" s="971">
        <f>J7*J10*K10+J7*L10*M10</f>
        <v>0</v>
      </c>
    </row>
    <row r="11" spans="1:15" ht="15" customHeight="1" thickBot="1">
      <c r="A11" s="911" t="s">
        <v>376</v>
      </c>
      <c r="B11" s="912"/>
      <c r="C11" s="913"/>
      <c r="D11" s="914"/>
      <c r="E11" s="914"/>
      <c r="F11" s="972">
        <f>F9+F10</f>
        <v>1</v>
      </c>
      <c r="G11" s="915"/>
      <c r="I11" s="911" t="s">
        <v>376</v>
      </c>
      <c r="J11" s="912"/>
      <c r="K11" s="913"/>
      <c r="L11" s="914"/>
      <c r="M11" s="914"/>
      <c r="N11" s="972">
        <f>N9+N10</f>
        <v>1</v>
      </c>
      <c r="O11" s="915"/>
    </row>
    <row r="12" spans="1:15" ht="21.6" customHeight="1" thickTop="1">
      <c r="A12" s="904" t="s">
        <v>377</v>
      </c>
      <c r="B12" s="905"/>
      <c r="C12" s="1065" t="s">
        <v>72</v>
      </c>
      <c r="D12" s="1268" t="str">
        <f>IF(F11&lt;AnzMin,"Mindestteilnehmerzahl unterschritten","")</f>
        <v>Mindestteilnehmerzahl unterschritten</v>
      </c>
      <c r="E12" s="1269"/>
      <c r="F12" s="1269"/>
      <c r="G12" s="1269"/>
      <c r="I12" s="904" t="s">
        <v>377</v>
      </c>
      <c r="J12" s="905"/>
      <c r="K12" s="1065" t="s">
        <v>72</v>
      </c>
      <c r="L12" s="1268" t="str">
        <f>IF(N11&lt;AnzMin,"Mindestteilnehmerzahl unterschritten","")</f>
        <v>Mindestteilnehmerzahl unterschritten</v>
      </c>
      <c r="M12" s="1269"/>
      <c r="N12" s="1269"/>
      <c r="O12" s="1269"/>
    </row>
    <row r="13" spans="1:15" ht="15" customHeight="1">
      <c r="A13" s="891" t="s">
        <v>378</v>
      </c>
      <c r="B13" s="962">
        <f>km+kmEndeStart</f>
        <v>700</v>
      </c>
      <c r="C13" s="1262"/>
      <c r="D13" s="1263"/>
      <c r="E13" s="1263"/>
      <c r="F13" s="1263"/>
      <c r="G13" s="1264"/>
      <c r="I13" s="891" t="s">
        <v>378</v>
      </c>
      <c r="J13" s="962">
        <f>km+kmEndeStart</f>
        <v>700</v>
      </c>
      <c r="K13" s="1262"/>
      <c r="L13" s="1263"/>
      <c r="M13" s="1263"/>
      <c r="N13" s="1263"/>
      <c r="O13" s="1264"/>
    </row>
    <row r="14" spans="1:15" ht="15" customHeight="1">
      <c r="A14" s="892" t="s">
        <v>379</v>
      </c>
      <c r="B14" s="921">
        <v>5</v>
      </c>
      <c r="C14" s="1265"/>
      <c r="D14" s="1266"/>
      <c r="E14" s="1266"/>
      <c r="F14" s="1266"/>
      <c r="G14" s="1267"/>
      <c r="I14" s="892" t="s">
        <v>379</v>
      </c>
      <c r="J14" s="921">
        <v>5</v>
      </c>
      <c r="K14" s="1265"/>
      <c r="L14" s="1266"/>
      <c r="M14" s="1266"/>
      <c r="N14" s="1266"/>
      <c r="O14" s="1267"/>
    </row>
    <row r="15" spans="1:15" ht="15" customHeight="1">
      <c r="A15" s="892" t="s">
        <v>380</v>
      </c>
      <c r="B15" s="975" t="s">
        <v>207</v>
      </c>
      <c r="C15" s="1229"/>
      <c r="D15" s="1230"/>
      <c r="E15" s="1230"/>
      <c r="F15" s="1230"/>
      <c r="G15" s="1231"/>
      <c r="I15" s="892" t="s">
        <v>380</v>
      </c>
      <c r="J15" s="975" t="s">
        <v>207</v>
      </c>
      <c r="K15" s="1229"/>
      <c r="L15" s="1230"/>
      <c r="M15" s="1230"/>
      <c r="N15" s="1230"/>
      <c r="O15" s="1231"/>
    </row>
    <row r="16" spans="1:15">
      <c r="A16" s="892" t="s">
        <v>381</v>
      </c>
      <c r="B16" s="963">
        <f>B13*VLOOKUP(B15,Liste_Spritgeld,2,FALSE)</f>
        <v>0</v>
      </c>
      <c r="C16" s="1232"/>
      <c r="D16" s="1233"/>
      <c r="E16" s="1233"/>
      <c r="F16" s="1233"/>
      <c r="G16" s="1234"/>
      <c r="I16" s="892" t="s">
        <v>381</v>
      </c>
      <c r="J16" s="963">
        <f>J13*VLOOKUP(J15,Liste_Spritgeld,2,FALSE)</f>
        <v>0</v>
      </c>
      <c r="K16" s="1232"/>
      <c r="L16" s="1233"/>
      <c r="M16" s="1233"/>
      <c r="N16" s="1233"/>
      <c r="O16" s="1234"/>
    </row>
    <row r="17" spans="1:16" ht="15" customHeight="1">
      <c r="A17" s="891" t="s">
        <v>382</v>
      </c>
      <c r="B17" s="879">
        <v>0</v>
      </c>
      <c r="C17" s="1235"/>
      <c r="D17" s="1236"/>
      <c r="E17" s="1236"/>
      <c r="F17" s="1236"/>
      <c r="G17" s="1237"/>
      <c r="I17" s="891" t="s">
        <v>382</v>
      </c>
      <c r="J17" s="879">
        <v>0</v>
      </c>
      <c r="K17" s="1235"/>
      <c r="L17" s="1236"/>
      <c r="M17" s="1236"/>
      <c r="N17" s="1236"/>
      <c r="O17" s="1237"/>
    </row>
    <row r="18" spans="1:16" ht="15" customHeight="1">
      <c r="A18" s="891" t="s">
        <v>383</v>
      </c>
      <c r="B18" s="879">
        <v>0</v>
      </c>
      <c r="C18" s="1235"/>
      <c r="D18" s="1236"/>
      <c r="E18" s="1236"/>
      <c r="F18" s="1236"/>
      <c r="G18" s="1237"/>
      <c r="I18" s="891" t="s">
        <v>383</v>
      </c>
      <c r="J18" s="879">
        <v>0</v>
      </c>
      <c r="K18" s="1235"/>
      <c r="L18" s="1236"/>
      <c r="M18" s="1236"/>
      <c r="N18" s="1236"/>
      <c r="O18" s="1237"/>
    </row>
    <row r="19" spans="1:16" ht="15" customHeight="1">
      <c r="A19" s="892" t="s">
        <v>384</v>
      </c>
      <c r="B19" s="1067">
        <v>0</v>
      </c>
      <c r="C19" s="1238"/>
      <c r="D19" s="1239"/>
      <c r="E19" s="1239"/>
      <c r="F19" s="1239"/>
      <c r="G19" s="1240"/>
      <c r="I19" s="892" t="s">
        <v>384</v>
      </c>
      <c r="J19" s="1067">
        <v>0</v>
      </c>
      <c r="K19" s="1238"/>
      <c r="L19" s="1239"/>
      <c r="M19" s="1239"/>
      <c r="N19" s="1239"/>
      <c r="O19" s="1240"/>
    </row>
    <row r="20" spans="1:16" ht="15" customHeight="1">
      <c r="A20" s="891" t="s">
        <v>385</v>
      </c>
      <c r="B20" s="879">
        <v>0</v>
      </c>
      <c r="C20" s="1241"/>
      <c r="D20" s="1242"/>
      <c r="E20" s="1242"/>
      <c r="F20" s="1242"/>
      <c r="G20" s="1243"/>
      <c r="I20" s="891" t="s">
        <v>386</v>
      </c>
      <c r="J20" s="879">
        <v>0</v>
      </c>
      <c r="K20" s="1241"/>
      <c r="L20" s="1242"/>
      <c r="M20" s="1242"/>
      <c r="N20" s="1242"/>
      <c r="O20" s="1243"/>
    </row>
    <row r="21" spans="1:16" ht="15" customHeight="1">
      <c r="A21" s="1063" t="s">
        <v>387</v>
      </c>
      <c r="B21" s="1064" t="b">
        <v>0</v>
      </c>
      <c r="C21" s="1244"/>
      <c r="D21" s="1245"/>
      <c r="E21" s="1245"/>
      <c r="F21" s="1245"/>
      <c r="G21" s="1246"/>
      <c r="I21" s="1063" t="s">
        <v>387</v>
      </c>
      <c r="J21" s="1064" t="b">
        <v>0</v>
      </c>
      <c r="K21" s="1244"/>
      <c r="L21" s="1245"/>
      <c r="M21" s="1245"/>
      <c r="N21" s="1245"/>
      <c r="O21" s="1246"/>
    </row>
    <row r="22" spans="1:16" ht="29.45" customHeight="1">
      <c r="A22" s="1247" t="str">
        <f>IF(B21=TRUE,"Das Deutschlandticket wurde als preiswerteste Fahrkarte für diese Tour erworben","")</f>
        <v/>
      </c>
      <c r="B22" s="1248"/>
      <c r="C22" s="1248"/>
      <c r="D22" s="1249"/>
      <c r="E22" s="880" t="str">
        <f>IF(B21=TRUE,"gez.","")</f>
        <v/>
      </c>
      <c r="F22" s="1250" t="str">
        <f>IF(B21=TRUE,B6&amp;" " &amp; C6,"")</f>
        <v/>
      </c>
      <c r="G22" s="1251"/>
      <c r="I22" s="1247" t="str">
        <f>IF(J21=TRUE,"Das Deutschlandticket wurde als preiswerteste Fahrkarte für diese Tour erworben","")</f>
        <v/>
      </c>
      <c r="J22" s="1248"/>
      <c r="K22" s="1248"/>
      <c r="L22" s="1249"/>
      <c r="M22" s="880" t="str">
        <f>IF(J21=TRUE,"gez.","")</f>
        <v/>
      </c>
      <c r="N22" s="1250" t="str">
        <f>IF(J21=TRUE,J6&amp;" " &amp; K6,"")</f>
        <v/>
      </c>
      <c r="O22" s="1251"/>
    </row>
    <row r="23" spans="1:16" ht="15" customHeight="1" thickBot="1">
      <c r="A23" s="893" t="s">
        <v>388</v>
      </c>
      <c r="B23" s="926"/>
      <c r="C23" s="922"/>
      <c r="D23" s="923"/>
      <c r="E23" s="924"/>
      <c r="F23" s="885"/>
      <c r="G23" s="942">
        <f>IF(B16&gt;0,(B16+B17+B18+B19)/B14,0)+B20</f>
        <v>0</v>
      </c>
      <c r="I23" s="893" t="s">
        <v>388</v>
      </c>
      <c r="J23" s="926"/>
      <c r="K23" s="922"/>
      <c r="L23" s="923"/>
      <c r="M23" s="924"/>
      <c r="N23" s="885"/>
      <c r="O23" s="942">
        <f>IF(J16&gt;0,(J16+J17+J18+J19)/J14,0)+J20</f>
        <v>0</v>
      </c>
    </row>
    <row r="24" spans="1:16" ht="16.5" customHeight="1" thickTop="1">
      <c r="A24" s="925" t="s">
        <v>389</v>
      </c>
      <c r="B24" s="918">
        <v>0</v>
      </c>
      <c r="C24" s="919"/>
      <c r="D24" s="919"/>
      <c r="E24" s="920"/>
      <c r="F24" s="1252"/>
      <c r="G24" s="1253"/>
      <c r="H24" s="315"/>
      <c r="I24" s="925" t="s">
        <v>389</v>
      </c>
      <c r="J24" s="918">
        <v>0</v>
      </c>
      <c r="K24" s="919"/>
      <c r="L24" s="919"/>
      <c r="M24" s="920"/>
      <c r="N24" s="1252"/>
      <c r="O24" s="1253"/>
      <c r="P24" s="315"/>
    </row>
    <row r="25" spans="1:16" ht="15" customHeight="1">
      <c r="A25" s="1254" t="s">
        <v>390</v>
      </c>
      <c r="B25" s="881" t="s">
        <v>391</v>
      </c>
      <c r="C25" s="1256" t="s">
        <v>392</v>
      </c>
      <c r="D25" s="1256"/>
      <c r="E25" s="1257"/>
      <c r="F25" s="1225" t="s">
        <v>393</v>
      </c>
      <c r="G25" s="1226"/>
      <c r="I25" s="1254" t="s">
        <v>390</v>
      </c>
      <c r="J25" s="881" t="s">
        <v>391</v>
      </c>
      <c r="K25" s="1256" t="s">
        <v>392</v>
      </c>
      <c r="L25" s="1256"/>
      <c r="M25" s="1257"/>
      <c r="N25" s="1225" t="s">
        <v>393</v>
      </c>
      <c r="O25" s="1226"/>
    </row>
    <row r="26" spans="1:16" ht="16.5" customHeight="1">
      <c r="A26" s="1255"/>
      <c r="B26" s="964">
        <f>ROUND(IF(Dauer&gt;=6,6,IF(Dauer&lt;=1,0,Dauer-1)),0)-B24</f>
        <v>2</v>
      </c>
      <c r="C26" s="1190">
        <v>20</v>
      </c>
      <c r="D26" s="1190"/>
      <c r="E26" s="1191"/>
      <c r="F26" s="1227">
        <f>IF(F24&gt;0,(B26-F24)*C26,B26*C26)</f>
        <v>40</v>
      </c>
      <c r="G26" s="1228"/>
      <c r="I26" s="1255"/>
      <c r="J26" s="964">
        <f>ROUND(IF(Dauer&gt;=6,6,IF(Dauer&lt;=1,0,Dauer-1)),0)-J24</f>
        <v>2</v>
      </c>
      <c r="K26" s="1190">
        <v>20</v>
      </c>
      <c r="L26" s="1190"/>
      <c r="M26" s="1191"/>
      <c r="N26" s="1227">
        <f>IF(N24&gt;0,(J26-N24)*K26,J26*K26)</f>
        <v>40</v>
      </c>
      <c r="O26" s="1228"/>
    </row>
    <row r="27" spans="1:16" ht="16.5" customHeight="1">
      <c r="A27" s="894" t="s">
        <v>394</v>
      </c>
      <c r="B27" s="876" t="s">
        <v>391</v>
      </c>
      <c r="C27" s="1186" t="s">
        <v>395</v>
      </c>
      <c r="D27" s="1186"/>
      <c r="E27" s="1187"/>
      <c r="F27" s="1188"/>
      <c r="G27" s="1189"/>
      <c r="I27" s="894" t="s">
        <v>394</v>
      </c>
      <c r="J27" s="876" t="s">
        <v>391</v>
      </c>
      <c r="K27" s="1186" t="s">
        <v>395</v>
      </c>
      <c r="L27" s="1186"/>
      <c r="M27" s="1187"/>
      <c r="N27" s="1188"/>
      <c r="O27" s="1189"/>
    </row>
    <row r="28" spans="1:16" ht="16.5" customHeight="1">
      <c r="A28" s="895" t="s">
        <v>396</v>
      </c>
      <c r="B28" s="960">
        <f>IF(Dauer&lt;=1,1,2)</f>
        <v>2</v>
      </c>
      <c r="C28" s="1190">
        <v>14</v>
      </c>
      <c r="D28" s="1190"/>
      <c r="E28" s="1191"/>
      <c r="F28" s="1192">
        <f>+B28*C28</f>
        <v>28</v>
      </c>
      <c r="G28" s="1193"/>
      <c r="I28" s="895" t="s">
        <v>396</v>
      </c>
      <c r="J28" s="960">
        <f>IF(Dauer&lt;=1,1,2)</f>
        <v>2</v>
      </c>
      <c r="K28" s="1190">
        <v>14</v>
      </c>
      <c r="L28" s="1190"/>
      <c r="M28" s="1191"/>
      <c r="N28" s="1192">
        <f>+J28*K28</f>
        <v>28</v>
      </c>
      <c r="O28" s="1193"/>
    </row>
    <row r="29" spans="1:16" ht="16.5" customHeight="1">
      <c r="A29" s="895" t="s">
        <v>397</v>
      </c>
      <c r="B29" s="960">
        <f>ROUND(Dauer,0)-B28</f>
        <v>1</v>
      </c>
      <c r="C29" s="1190">
        <v>28</v>
      </c>
      <c r="D29" s="1190"/>
      <c r="E29" s="1191"/>
      <c r="F29" s="1192">
        <f>+B29*C29</f>
        <v>28</v>
      </c>
      <c r="G29" s="1193"/>
      <c r="I29" s="895" t="s">
        <v>397</v>
      </c>
      <c r="J29" s="960">
        <f>ROUND(Dauer,0)-J28</f>
        <v>1</v>
      </c>
      <c r="K29" s="1190">
        <v>28</v>
      </c>
      <c r="L29" s="1190"/>
      <c r="M29" s="1191"/>
      <c r="N29" s="1192">
        <f>+J29*K29</f>
        <v>28</v>
      </c>
      <c r="O29" s="1193"/>
    </row>
    <row r="30" spans="1:16" ht="16.5" customHeight="1">
      <c r="A30" s="894" t="s">
        <v>398</v>
      </c>
      <c r="B30" s="1220"/>
      <c r="C30" s="1221"/>
      <c r="D30" s="1221"/>
      <c r="E30" s="1222"/>
      <c r="F30" s="1223">
        <v>0</v>
      </c>
      <c r="G30" s="1224"/>
      <c r="I30" s="894" t="s">
        <v>398</v>
      </c>
      <c r="J30" s="1220"/>
      <c r="K30" s="1221"/>
      <c r="L30" s="1221"/>
      <c r="M30" s="1222"/>
      <c r="N30" s="1223">
        <v>0</v>
      </c>
      <c r="O30" s="1224"/>
    </row>
    <row r="31" spans="1:16" ht="18.600000000000001" customHeight="1" thickBot="1">
      <c r="A31" s="896" t="s">
        <v>399</v>
      </c>
      <c r="B31" s="1181"/>
      <c r="C31" s="1182"/>
      <c r="D31" s="1182"/>
      <c r="E31" s="1183"/>
      <c r="F31" s="1184">
        <v>0</v>
      </c>
      <c r="G31" s="1185"/>
      <c r="I31" s="896" t="s">
        <v>399</v>
      </c>
      <c r="J31" s="1181"/>
      <c r="K31" s="1182"/>
      <c r="L31" s="1182"/>
      <c r="M31" s="1183"/>
      <c r="N31" s="1184">
        <v>0</v>
      </c>
      <c r="O31" s="1185"/>
    </row>
    <row r="32" spans="1:16" ht="18.399999999999999" customHeight="1">
      <c r="A32" s="897" t="s">
        <v>400</v>
      </c>
      <c r="B32" s="1211"/>
      <c r="C32" s="1212"/>
      <c r="D32" s="1212"/>
      <c r="E32" s="1212"/>
      <c r="F32" s="1213">
        <f>G23+F26+F28+F29+F30-F31</f>
        <v>96</v>
      </c>
      <c r="G32" s="1214"/>
      <c r="I32" s="897" t="s">
        <v>400</v>
      </c>
      <c r="J32" s="1211"/>
      <c r="K32" s="1212"/>
      <c r="L32" s="1212"/>
      <c r="M32" s="1212"/>
      <c r="N32" s="1213">
        <f>O23+N26+N28+N29+N30-N31</f>
        <v>96</v>
      </c>
      <c r="O32" s="1214"/>
    </row>
    <row r="33" spans="1:15" ht="16.5" customHeight="1">
      <c r="A33" s="894" t="s">
        <v>401</v>
      </c>
      <c r="B33" s="961">
        <f>IF(F7&gt;=3,3,F7)</f>
        <v>3</v>
      </c>
      <c r="C33" s="1054" t="b">
        <v>1</v>
      </c>
      <c r="D33" s="974">
        <f>IF(C33,VLOOKUP(F11,Liste_Öffi_Zuschuss,2,TRUE),0)</f>
        <v>25</v>
      </c>
      <c r="E33" s="882"/>
      <c r="F33" s="1192">
        <f>IF(F11&gt;=AnzMin,B33*D33,0)</f>
        <v>0</v>
      </c>
      <c r="G33" s="1193"/>
      <c r="I33" s="894" t="s">
        <v>401</v>
      </c>
      <c r="J33" s="961">
        <f>IF(N7&gt;=3,3,N7)</f>
        <v>3</v>
      </c>
      <c r="K33" s="1054" t="b">
        <v>0</v>
      </c>
      <c r="L33" s="974">
        <f>IF(K33,VLOOKUP(N11,Liste_Öffi_Zuschuss,2,TRUE),0)</f>
        <v>0</v>
      </c>
      <c r="M33" s="882"/>
      <c r="N33" s="1192">
        <f>IF(F33=0,IF(K6="-",0,IF(N11&gt;=2*AnzMin,J33*L33,0)))</f>
        <v>0</v>
      </c>
      <c r="O33" s="1193"/>
    </row>
    <row r="34" spans="1:15" ht="18.399999999999999" customHeight="1" thickBot="1">
      <c r="A34" s="903" t="s">
        <v>402</v>
      </c>
      <c r="B34" s="1215"/>
      <c r="C34" s="1215"/>
      <c r="D34" s="1215"/>
      <c r="E34" s="1215"/>
      <c r="F34" s="1216">
        <f>F33+IF(F11&gt;=AnzMin,F32,
IF(F32&gt;G10,G10,F32))</f>
        <v>0</v>
      </c>
      <c r="G34" s="1217"/>
      <c r="I34" s="903" t="s">
        <v>402</v>
      </c>
      <c r="J34" s="1215"/>
      <c r="K34" s="1215"/>
      <c r="L34" s="1215"/>
      <c r="M34" s="1215"/>
      <c r="N34" s="1216">
        <f>N33+IF(K6="-",0,IF(N11&gt;=2*AnzMin,N32,
IF(N32&gt;O10-F34,O10-F34,N32)))</f>
        <v>0</v>
      </c>
      <c r="O34" s="1217"/>
    </row>
    <row r="35" spans="1:15" ht="18.399999999999999" customHeight="1" thickTop="1">
      <c r="A35" s="906" t="s">
        <v>403</v>
      </c>
      <c r="B35" s="1205" t="str">
        <f>B6</f>
        <v>VOrga</v>
      </c>
      <c r="C35" s="1218"/>
      <c r="D35" s="1219" t="str">
        <f>C6</f>
        <v>NOrga</v>
      </c>
      <c r="E35" s="1209"/>
      <c r="F35" s="1209"/>
      <c r="G35" s="1210"/>
      <c r="I35" s="906" t="s">
        <v>403</v>
      </c>
      <c r="J35" s="1205" t="str">
        <f>J6</f>
        <v>-</v>
      </c>
      <c r="K35" s="1218"/>
      <c r="L35" s="1219" t="str">
        <f>K6</f>
        <v>-</v>
      </c>
      <c r="M35" s="1209"/>
      <c r="N35" s="1209"/>
      <c r="O35" s="1210"/>
    </row>
    <row r="36" spans="1:15" ht="18.75" customHeight="1">
      <c r="A36" s="890" t="s">
        <v>404</v>
      </c>
      <c r="B36" s="1196"/>
      <c r="C36" s="1197"/>
      <c r="D36" s="1197"/>
      <c r="E36" s="1197"/>
      <c r="F36" s="1197"/>
      <c r="G36" s="1198"/>
      <c r="I36" s="890" t="s">
        <v>404</v>
      </c>
      <c r="J36" s="1196"/>
      <c r="K36" s="1197"/>
      <c r="L36" s="1197"/>
      <c r="M36" s="1197"/>
      <c r="N36" s="1197"/>
      <c r="O36" s="1198"/>
    </row>
    <row r="37" spans="1:15" ht="12" customHeight="1">
      <c r="A37" s="1199"/>
      <c r="B37" s="1201" t="s">
        <v>405</v>
      </c>
      <c r="C37" s="1203" t="str">
        <f>B6</f>
        <v>VOrga</v>
      </c>
      <c r="D37" s="1204"/>
      <c r="E37" s="1207" t="str">
        <f>C6</f>
        <v>NOrga</v>
      </c>
      <c r="F37" s="1207"/>
      <c r="G37" s="1208"/>
      <c r="I37" s="1199"/>
      <c r="J37" s="1201" t="s">
        <v>405</v>
      </c>
      <c r="K37" s="1203" t="str">
        <f>J6</f>
        <v>-</v>
      </c>
      <c r="L37" s="1204"/>
      <c r="M37" s="1207" t="str">
        <f>K6</f>
        <v>-</v>
      </c>
      <c r="N37" s="1207"/>
      <c r="O37" s="1208"/>
    </row>
    <row r="38" spans="1:15" ht="12" customHeight="1">
      <c r="A38" s="1200"/>
      <c r="B38" s="1202"/>
      <c r="C38" s="1205"/>
      <c r="D38" s="1206"/>
      <c r="E38" s="1209"/>
      <c r="F38" s="1209"/>
      <c r="G38" s="1210"/>
      <c r="I38" s="1200"/>
      <c r="J38" s="1202"/>
      <c r="K38" s="1205"/>
      <c r="L38" s="1206"/>
      <c r="M38" s="1209"/>
      <c r="N38" s="1209"/>
      <c r="O38" s="1210"/>
    </row>
    <row r="39" spans="1:15" ht="18.75" customHeight="1" thickBot="1">
      <c r="A39" s="898" t="s">
        <v>406</v>
      </c>
      <c r="B39" s="1179"/>
      <c r="C39" s="1179"/>
      <c r="D39" s="1179"/>
      <c r="E39" s="1179"/>
      <c r="F39" s="1179"/>
      <c r="G39" s="1180"/>
      <c r="I39" s="898" t="s">
        <v>406</v>
      </c>
      <c r="J39" s="1179"/>
      <c r="K39" s="1179"/>
      <c r="L39" s="1179"/>
      <c r="M39" s="1179"/>
      <c r="N39" s="1179"/>
      <c r="O39" s="1180"/>
    </row>
    <row r="40" spans="1:15" ht="13.5" customHeight="1" thickTop="1">
      <c r="A40" s="316"/>
      <c r="B40" s="316"/>
      <c r="D40" s="316"/>
      <c r="I40" s="316"/>
      <c r="J40" s="316"/>
      <c r="L40" s="316"/>
    </row>
    <row r="41" spans="1:15" ht="15.6" customHeight="1"/>
    <row r="42" spans="1:15" ht="15.6" customHeight="1"/>
    <row r="44" spans="1:15">
      <c r="A44" s="314" t="s">
        <v>69</v>
      </c>
      <c r="I44" s="314" t="s">
        <v>69</v>
      </c>
    </row>
  </sheetData>
  <sheetProtection algorithmName="SHA-512" hashValue="7wqPq195tgHynyetdFB8gU1q6qlR8/cqRArJMuk46VzhjeWDEijBQj21gpZw1WIvjWR8WzZCgvm+cTmxQSsmug==" saltValue="4wVocl0LyqRSyjwGI9MD7Q==" spinCount="100000" sheet="1" objects="1" scenarios="1"/>
  <mergeCells count="96">
    <mergeCell ref="C29:E29"/>
    <mergeCell ref="F29:G29"/>
    <mergeCell ref="B30:E30"/>
    <mergeCell ref="F30:G30"/>
    <mergeCell ref="C13:G13"/>
    <mergeCell ref="C26:E26"/>
    <mergeCell ref="F26:G26"/>
    <mergeCell ref="C20:G20"/>
    <mergeCell ref="C21:G21"/>
    <mergeCell ref="B39:G39"/>
    <mergeCell ref="B34:E34"/>
    <mergeCell ref="F34:G34"/>
    <mergeCell ref="B35:C35"/>
    <mergeCell ref="D35:G35"/>
    <mergeCell ref="B36:G36"/>
    <mergeCell ref="B31:E31"/>
    <mergeCell ref="F31:G31"/>
    <mergeCell ref="B32:E32"/>
    <mergeCell ref="F32:G32"/>
    <mergeCell ref="C18:G18"/>
    <mergeCell ref="C19:G19"/>
    <mergeCell ref="C27:E27"/>
    <mergeCell ref="F27:G27"/>
    <mergeCell ref="A22:D22"/>
    <mergeCell ref="F22:G22"/>
    <mergeCell ref="F24:G24"/>
    <mergeCell ref="A25:A26"/>
    <mergeCell ref="C25:E25"/>
    <mergeCell ref="F25:G25"/>
    <mergeCell ref="C28:E28"/>
    <mergeCell ref="F28:G28"/>
    <mergeCell ref="A37:A38"/>
    <mergeCell ref="B37:B38"/>
    <mergeCell ref="C37:D38"/>
    <mergeCell ref="E37:G38"/>
    <mergeCell ref="F33:G33"/>
    <mergeCell ref="F6:G6"/>
    <mergeCell ref="A3:D3"/>
    <mergeCell ref="B4:D4"/>
    <mergeCell ref="B5:D5"/>
    <mergeCell ref="C6:D6"/>
    <mergeCell ref="D12:G12"/>
    <mergeCell ref="C14:G14"/>
    <mergeCell ref="C15:G15"/>
    <mergeCell ref="C16:G16"/>
    <mergeCell ref="C17:G17"/>
    <mergeCell ref="I2:L2"/>
    <mergeCell ref="I3:L3"/>
    <mergeCell ref="J4:L4"/>
    <mergeCell ref="J5:L5"/>
    <mergeCell ref="A2:D2"/>
    <mergeCell ref="K6:L6"/>
    <mergeCell ref="N6:O6"/>
    <mergeCell ref="K13:O13"/>
    <mergeCell ref="K14:O14"/>
    <mergeCell ref="L12:O12"/>
    <mergeCell ref="N25:O25"/>
    <mergeCell ref="K26:M26"/>
    <mergeCell ref="N26:O26"/>
    <mergeCell ref="K15:O15"/>
    <mergeCell ref="K16:O16"/>
    <mergeCell ref="K17:O17"/>
    <mergeCell ref="K18:O18"/>
    <mergeCell ref="K19:O19"/>
    <mergeCell ref="K20:O20"/>
    <mergeCell ref="K21:O21"/>
    <mergeCell ref="I22:L22"/>
    <mergeCell ref="N22:O22"/>
    <mergeCell ref="N24:O24"/>
    <mergeCell ref="I25:I26"/>
    <mergeCell ref="K25:M25"/>
    <mergeCell ref="I1:M1"/>
    <mergeCell ref="A1:E1"/>
    <mergeCell ref="J36:O36"/>
    <mergeCell ref="I37:I38"/>
    <mergeCell ref="J37:J38"/>
    <mergeCell ref="K37:L38"/>
    <mergeCell ref="M37:O38"/>
    <mergeCell ref="J32:M32"/>
    <mergeCell ref="N32:O32"/>
    <mergeCell ref="J34:M34"/>
    <mergeCell ref="N34:O34"/>
    <mergeCell ref="J35:K35"/>
    <mergeCell ref="L35:O35"/>
    <mergeCell ref="J30:M30"/>
    <mergeCell ref="N30:O30"/>
    <mergeCell ref="N33:O33"/>
    <mergeCell ref="J39:O39"/>
    <mergeCell ref="J31:M31"/>
    <mergeCell ref="N31:O31"/>
    <mergeCell ref="K27:M27"/>
    <mergeCell ref="N27:O27"/>
    <mergeCell ref="K28:M28"/>
    <mergeCell ref="N28:O28"/>
    <mergeCell ref="K29:M29"/>
    <mergeCell ref="N29:O29"/>
  </mergeCells>
  <conditionalFormatting sqref="A2">
    <cfRule type="cellIs" dxfId="26" priority="8" operator="notEqual">
      <formula>""</formula>
    </cfRule>
  </conditionalFormatting>
  <conditionalFormatting sqref="D12">
    <cfRule type="cellIs" dxfId="25" priority="2" operator="notEqual">
      <formula>""</formula>
    </cfRule>
  </conditionalFormatting>
  <conditionalFormatting sqref="I2">
    <cfRule type="cellIs" dxfId="24" priority="4" operator="notEqual">
      <formula>""</formula>
    </cfRule>
  </conditionalFormatting>
  <conditionalFormatting sqref="L12">
    <cfRule type="cellIs" dxfId="23" priority="1" operator="notEqual">
      <formula>""</formula>
    </cfRule>
  </conditionalFormatting>
  <pageMargins left="0.70866141732283472" right="0.70866141732283472" top="0.78740157480314965" bottom="0.78740157480314965" header="0.31496062992125984" footer="0.31496062992125984"/>
  <pageSetup paperSize="9" scale="98" fitToWidth="2" orientation="portrait" r:id="rId1"/>
  <rowBreaks count="1" manualBreakCount="1">
    <brk id="16" max="14" man="1"/>
  </rowBreaks>
  <colBreaks count="3" manualBreakCount="3">
    <brk id="7" max="38" man="1"/>
    <brk id="10" max="38" man="1"/>
    <brk id="15" max="1048575" man="1"/>
  </colBreaks>
  <drawing r:id="rId2"/>
  <legacyDrawing r:id="rId3"/>
  <oleObjects>
    <mc:AlternateContent xmlns:mc="http://schemas.openxmlformats.org/markup-compatibility/2006">
      <mc:Choice Requires="x14">
        <oleObject progId="Paint.Picture" shapeId="16385" r:id="rId4">
          <objectPr defaultSize="0" autoPict="0" r:id="rId5">
            <anchor moveWithCells="1">
              <from>
                <xdr:col>5</xdr:col>
                <xdr:colOff>142875</xdr:colOff>
                <xdr:row>0</xdr:row>
                <xdr:rowOff>57150</xdr:rowOff>
              </from>
              <to>
                <xdr:col>6</xdr:col>
                <xdr:colOff>619125</xdr:colOff>
                <xdr:row>2</xdr:row>
                <xdr:rowOff>209550</xdr:rowOff>
              </to>
            </anchor>
          </objectPr>
        </oleObject>
      </mc:Choice>
      <mc:Fallback>
        <oleObject progId="Paint.Picture" shapeId="16385" r:id="rId4"/>
      </mc:Fallback>
    </mc:AlternateContent>
    <mc:AlternateContent xmlns:mc="http://schemas.openxmlformats.org/markup-compatibility/2006">
      <mc:Choice Requires="x14">
        <oleObject progId="Paint.Picture" shapeId="16395" r:id="rId6">
          <objectPr defaultSize="0" autoPict="0" r:id="rId5">
            <anchor moveWithCells="1">
              <from>
                <xdr:col>13</xdr:col>
                <xdr:colOff>142875</xdr:colOff>
                <xdr:row>0</xdr:row>
                <xdr:rowOff>57150</xdr:rowOff>
              </from>
              <to>
                <xdr:col>14</xdr:col>
                <xdr:colOff>619125</xdr:colOff>
                <xdr:row>2</xdr:row>
                <xdr:rowOff>209550</xdr:rowOff>
              </to>
            </anchor>
          </objectPr>
        </oleObject>
      </mc:Choice>
      <mc:Fallback>
        <oleObject progId="Paint.Picture" shapeId="16395" r:id="rId6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ahrzeugart" prompt="pauschale Spritkosten in €/100km" xr:uid="{EB151F96-1B96-40F1-AF18-8F908E3B447D}">
          <x14:formula1>
            <xm:f>HilfeListe!$AM$16:$AM$36</xm:f>
          </x14:formula1>
          <xm:sqref>B15 J15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48F4B-6320-434D-B1B0-D60329200D6E}">
  <sheetPr codeName="Tabelle4">
    <tabColor rgb="FF0070C0"/>
    <pageSetUpPr fitToPage="1"/>
  </sheetPr>
  <dimension ref="A1:J1306"/>
  <sheetViews>
    <sheetView topLeftCell="C1" zoomScaleNormal="100" workbookViewId="0">
      <selection activeCell="G1" sqref="G1"/>
    </sheetView>
  </sheetViews>
  <sheetFormatPr defaultColWidth="11.42578125" defaultRowHeight="12.75" outlineLevelRow="1" outlineLevelCol="1"/>
  <cols>
    <col min="1" max="1" width="5.28515625" style="63" customWidth="1"/>
    <col min="2" max="2" width="34.7109375" style="63" customWidth="1"/>
    <col min="3" max="3" width="70.28515625" style="63" customWidth="1" outlineLevel="1"/>
    <col min="4" max="4" width="13.5703125" style="63" customWidth="1"/>
    <col min="5" max="5" width="11.85546875" style="63" customWidth="1"/>
    <col min="6" max="6" width="8" style="302" customWidth="1"/>
    <col min="7" max="7" width="39.85546875" style="303" customWidth="1"/>
    <col min="8" max="8" width="10.7109375" style="304" customWidth="1"/>
    <col min="9" max="9" width="9.42578125" style="305" customWidth="1"/>
  </cols>
  <sheetData>
    <row r="1" spans="1:9">
      <c r="B1" s="1280" t="s">
        <v>407</v>
      </c>
      <c r="C1" s="1285"/>
      <c r="D1" s="1285"/>
      <c r="E1" s="64"/>
      <c r="F1" s="65"/>
      <c r="G1" s="66"/>
      <c r="H1" s="66"/>
      <c r="I1" s="66"/>
    </row>
    <row r="2" spans="1:9">
      <c r="A2" s="67" t="s">
        <v>408</v>
      </c>
      <c r="C2" s="68"/>
      <c r="D2" s="69" t="s">
        <v>409</v>
      </c>
      <c r="E2" s="70"/>
      <c r="F2" s="71"/>
      <c r="G2" s="72"/>
      <c r="H2" s="72"/>
      <c r="I2" s="72"/>
    </row>
    <row r="3" spans="1:9" ht="5.25" customHeight="1">
      <c r="A3" s="67"/>
      <c r="C3" s="68"/>
      <c r="D3" s="70"/>
      <c r="E3" s="70"/>
      <c r="F3" s="71"/>
      <c r="G3" s="73"/>
      <c r="H3" s="73"/>
      <c r="I3" s="73"/>
    </row>
    <row r="4" spans="1:9" s="929" customFormat="1" ht="13.5" customHeight="1" thickBot="1">
      <c r="A4" s="928"/>
      <c r="B4" s="928" t="s">
        <v>410</v>
      </c>
      <c r="C4" s="928" t="s">
        <v>411</v>
      </c>
      <c r="D4" s="74" t="s">
        <v>412</v>
      </c>
      <c r="E4" s="74" t="s">
        <v>413</v>
      </c>
      <c r="F4" s="75" t="s">
        <v>414</v>
      </c>
      <c r="G4" s="76" t="str">
        <f>IF(OR(G5="FEHLER",G20="FEHLER",G46="FEHLER",G52="FEHLER",G58="FEHLER",G68="FEHLER",G83="FEHLER",G88="FEHLER",G92="FEHLER"),"FEHLER","")</f>
        <v/>
      </c>
      <c r="H4" s="76" t="str">
        <f t="shared" ref="H4:I4" si="0">IF(OR(H5="FEHLER",H20="FEHLER",H46="FEHLER",H52="FEHLER",H58="FEHLER",H68="FEHLER",H83="FEHLER",H88="FEHLER",H92="FEHLER"),"FEHLER","")</f>
        <v/>
      </c>
      <c r="I4" s="76" t="str">
        <f t="shared" si="0"/>
        <v/>
      </c>
    </row>
    <row r="5" spans="1:9">
      <c r="A5" s="77" t="s">
        <v>415</v>
      </c>
      <c r="B5" s="77"/>
      <c r="C5" s="77"/>
      <c r="D5" s="78"/>
      <c r="E5" s="78"/>
      <c r="F5" s="79"/>
      <c r="G5" s="80" t="str">
        <f>IF(COUNTA(G6:G17,G19)=0,"LEER",IF(COUNTA(G6,G10,G14,G15,G16,G9,G17,G19,G11,G12,G13)=11,"OK","FEHLER"))</f>
        <v>OK</v>
      </c>
      <c r="H5" s="80" t="str">
        <f t="shared" ref="H5:I5" si="1">IF(COUNTA(H6:H17,H19)=0,"LEER",IF(COUNTA(H6,H10,H14,H15,H16,H9,H17,H19,H11,H12,H13)=11,"OK","FEHLER"))</f>
        <v>LEER</v>
      </c>
      <c r="I5" s="80" t="str">
        <f t="shared" si="1"/>
        <v>LEER</v>
      </c>
    </row>
    <row r="6" spans="1:9">
      <c r="A6" s="81"/>
      <c r="B6" s="82" t="s">
        <v>416</v>
      </c>
      <c r="C6" s="83" t="s">
        <v>417</v>
      </c>
      <c r="D6" s="84" t="s">
        <v>418</v>
      </c>
      <c r="E6" s="84"/>
      <c r="F6" s="85"/>
      <c r="G6" s="306" t="str">
        <f>Sektion</f>
        <v>DAV Altdorf</v>
      </c>
      <c r="H6" s="86"/>
      <c r="I6" s="86"/>
    </row>
    <row r="7" spans="1:9">
      <c r="A7" s="87"/>
      <c r="B7" s="82" t="s">
        <v>419</v>
      </c>
      <c r="C7" s="83" t="s">
        <v>420</v>
      </c>
      <c r="D7" s="84" t="s">
        <v>421</v>
      </c>
      <c r="E7" s="84"/>
      <c r="F7" s="85"/>
      <c r="G7" s="306" t="str">
        <f>TourTitel</f>
        <v>Beispieltour egalwohin oder sowi</v>
      </c>
      <c r="H7" s="86"/>
      <c r="I7" s="86"/>
    </row>
    <row r="8" spans="1:9">
      <c r="A8" s="87"/>
      <c r="B8" s="88" t="s">
        <v>422</v>
      </c>
      <c r="C8" s="89" t="s">
        <v>423</v>
      </c>
      <c r="D8" s="90"/>
      <c r="E8" s="90"/>
      <c r="F8" s="91"/>
      <c r="G8" s="306" t="str">
        <f>SektionsGruppe</f>
        <v>Bergsteigergruppe</v>
      </c>
      <c r="H8" s="62"/>
      <c r="I8" s="62"/>
    </row>
    <row r="9" spans="1:9" ht="25.5">
      <c r="A9" s="92"/>
      <c r="B9" s="93" t="s">
        <v>424</v>
      </c>
      <c r="C9" s="94" t="s">
        <v>425</v>
      </c>
      <c r="D9" s="95" t="s">
        <v>232</v>
      </c>
      <c r="E9" s="95"/>
      <c r="F9" s="96"/>
      <c r="G9" s="1055" t="str">
        <f>Sportart</f>
        <v>Bergsteigen</v>
      </c>
      <c r="H9" s="1056"/>
      <c r="I9" s="1056"/>
    </row>
    <row r="10" spans="1:9">
      <c r="A10" s="87"/>
      <c r="B10" s="82" t="s">
        <v>426</v>
      </c>
      <c r="C10" s="83" t="s">
        <v>427</v>
      </c>
      <c r="D10" s="84">
        <v>1</v>
      </c>
      <c r="E10" s="84" t="s">
        <v>391</v>
      </c>
      <c r="F10" s="97"/>
      <c r="G10" s="86">
        <v>1</v>
      </c>
      <c r="H10" s="86"/>
      <c r="I10" s="86"/>
    </row>
    <row r="11" spans="1:9">
      <c r="A11" s="87"/>
      <c r="B11" s="82" t="s">
        <v>428</v>
      </c>
      <c r="C11" s="98" t="s">
        <v>429</v>
      </c>
      <c r="D11" s="84">
        <v>2024</v>
      </c>
      <c r="E11" s="84" t="s">
        <v>430</v>
      </c>
      <c r="F11" s="97"/>
      <c r="G11" s="306">
        <f>YEAR(StartDatum)</f>
        <v>2025</v>
      </c>
      <c r="H11" s="86"/>
      <c r="I11" s="86"/>
    </row>
    <row r="12" spans="1:9">
      <c r="A12" s="87"/>
      <c r="B12" s="82" t="s">
        <v>431</v>
      </c>
      <c r="C12" s="98" t="s">
        <v>429</v>
      </c>
      <c r="D12" s="84" t="s">
        <v>228</v>
      </c>
      <c r="E12" s="84" t="s">
        <v>432</v>
      </c>
      <c r="F12" s="97"/>
      <c r="G12" s="306" t="str">
        <f>VLOOKUP(MONTH(StartDatum),Liste_Monate,2)</f>
        <v>JUL</v>
      </c>
      <c r="H12" s="86"/>
      <c r="I12" s="86"/>
    </row>
    <row r="13" spans="1:9">
      <c r="A13" s="87"/>
      <c r="B13" s="82" t="s">
        <v>433</v>
      </c>
      <c r="C13" s="83" t="s">
        <v>434</v>
      </c>
      <c r="D13" s="84">
        <v>12</v>
      </c>
      <c r="E13" s="84" t="s">
        <v>39</v>
      </c>
      <c r="F13" s="91"/>
      <c r="G13" s="307">
        <f>DAY(StartDatum)</f>
        <v>4</v>
      </c>
      <c r="H13" s="99"/>
      <c r="I13" s="99"/>
    </row>
    <row r="14" spans="1:9" ht="25.5">
      <c r="A14" s="87"/>
      <c r="B14" s="100" t="s">
        <v>435</v>
      </c>
      <c r="C14" s="101" t="s">
        <v>436</v>
      </c>
      <c r="D14" s="102">
        <v>1.5</v>
      </c>
      <c r="E14" s="103" t="s">
        <v>39</v>
      </c>
      <c r="F14" s="104"/>
      <c r="G14" s="308">
        <f>Dauer</f>
        <v>2.5</v>
      </c>
      <c r="H14" s="105"/>
      <c r="I14" s="105"/>
    </row>
    <row r="15" spans="1:9" ht="25.5">
      <c r="A15" s="87"/>
      <c r="B15" s="100" t="s">
        <v>437</v>
      </c>
      <c r="C15" s="101" t="s">
        <v>438</v>
      </c>
      <c r="D15" s="103">
        <v>10</v>
      </c>
      <c r="E15" s="103" t="s">
        <v>439</v>
      </c>
      <c r="F15" s="106"/>
      <c r="G15" s="308">
        <f>Personen</f>
        <v>1</v>
      </c>
      <c r="H15" s="107"/>
      <c r="I15" s="107"/>
    </row>
    <row r="16" spans="1:9" ht="23.25">
      <c r="A16" s="87"/>
      <c r="B16" s="82" t="s">
        <v>440</v>
      </c>
      <c r="C16" s="108" t="s">
        <v>441</v>
      </c>
      <c r="D16" s="103" t="s">
        <v>442</v>
      </c>
      <c r="E16" s="103" t="s">
        <v>443</v>
      </c>
      <c r="F16" s="109"/>
      <c r="G16" s="309" t="str">
        <f>StartOrt</f>
        <v>&lt;Ort&gt;</v>
      </c>
      <c r="H16" s="110"/>
      <c r="I16" s="110"/>
    </row>
    <row r="17" spans="1:10">
      <c r="A17" s="87"/>
      <c r="B17" s="82" t="s">
        <v>444</v>
      </c>
      <c r="C17" s="83" t="s">
        <v>445</v>
      </c>
      <c r="D17" s="84" t="s">
        <v>180</v>
      </c>
      <c r="E17" s="84" t="s">
        <v>446</v>
      </c>
      <c r="F17" s="85"/>
      <c r="G17" s="306" t="str">
        <f>StartLand</f>
        <v>Österreich</v>
      </c>
      <c r="H17" s="86"/>
      <c r="I17" s="86"/>
    </row>
    <row r="18" spans="1:10" ht="12.75" customHeight="1">
      <c r="A18" s="87"/>
      <c r="B18" s="88" t="s">
        <v>447</v>
      </c>
      <c r="C18" s="89" t="s">
        <v>448</v>
      </c>
      <c r="D18" s="90"/>
      <c r="E18" s="90"/>
      <c r="F18" s="111" t="s">
        <v>449</v>
      </c>
      <c r="G18" s="112"/>
      <c r="H18" s="112"/>
      <c r="I18" s="112"/>
    </row>
    <row r="19" spans="1:10">
      <c r="A19" s="87"/>
      <c r="B19" s="88" t="s">
        <v>450</v>
      </c>
      <c r="C19" s="89" t="s">
        <v>451</v>
      </c>
      <c r="D19" s="113" t="s">
        <v>198</v>
      </c>
      <c r="E19" s="113"/>
      <c r="F19" s="91"/>
      <c r="G19" s="1057" t="s">
        <v>198</v>
      </c>
      <c r="H19" s="1057"/>
      <c r="I19" s="1057"/>
    </row>
    <row r="20" spans="1:10">
      <c r="A20" s="114" t="s">
        <v>452</v>
      </c>
      <c r="B20" s="115"/>
      <c r="C20" s="116"/>
      <c r="D20" s="117"/>
      <c r="E20" s="117"/>
      <c r="F20" s="118"/>
      <c r="G20" s="119" t="str">
        <f t="shared" ref="G20:I20" si="2">IF(COUNTA(G22:G43)=0,"LEER",IF(AND(COUNTA(G22:G31)&gt;0,COUNTA(G33:G43)=0),"OK KOMPLEX",IF(AND(COUNTA(G22:G31)=0,COUNTA(G33:G43)&gt;0,SUM(G34:G43)=1),"OK EINFACH","FEHLER")))</f>
        <v>OK KOMPLEX</v>
      </c>
      <c r="H20" s="119" t="str">
        <f t="shared" si="2"/>
        <v>LEER</v>
      </c>
      <c r="I20" s="119" t="str">
        <f t="shared" si="2"/>
        <v>LEER</v>
      </c>
    </row>
    <row r="21" spans="1:10">
      <c r="A21" s="120"/>
      <c r="B21" s="121" t="s">
        <v>453</v>
      </c>
      <c r="C21" s="122"/>
      <c r="D21" s="123"/>
      <c r="E21" s="124"/>
      <c r="F21" s="125"/>
      <c r="G21" s="126"/>
      <c r="H21" s="126"/>
      <c r="I21" s="126"/>
    </row>
    <row r="22" spans="1:10">
      <c r="A22" s="81"/>
      <c r="B22" s="127" t="s">
        <v>178</v>
      </c>
      <c r="C22" s="128" t="s">
        <v>454</v>
      </c>
      <c r="D22" s="84">
        <v>100</v>
      </c>
      <c r="E22" s="90" t="s">
        <v>455</v>
      </c>
      <c r="F22" s="91"/>
      <c r="G22" s="310">
        <f>COUNTIFS(AnmeldeListe!$K$46:$W$46,VLOOKUP(B22,Liste_Transportmittel,2,0),AnmeldeListe!$K$45:$W$45,"&gt;0")*km</f>
        <v>700</v>
      </c>
      <c r="H22" s="129"/>
      <c r="I22" s="129"/>
    </row>
    <row r="23" spans="1:10">
      <c r="B23" s="127" t="s">
        <v>189</v>
      </c>
      <c r="C23" s="130" t="s">
        <v>456</v>
      </c>
      <c r="D23" s="84">
        <v>100</v>
      </c>
      <c r="E23" s="131" t="s">
        <v>455</v>
      </c>
      <c r="F23" s="132"/>
      <c r="G23" s="310">
        <f>COUNTIFS(AnmeldeListe!$K$46:$W$46,VLOOKUP(B23,Liste_Transportmittel,2,0),AnmeldeListe!$K$45:$W$45,"&gt;0")*km</f>
        <v>0</v>
      </c>
      <c r="H23" s="129"/>
      <c r="I23" s="129"/>
    </row>
    <row r="24" spans="1:10">
      <c r="B24" s="127" t="s">
        <v>201</v>
      </c>
      <c r="C24" s="130" t="s">
        <v>457</v>
      </c>
      <c r="D24" s="84">
        <v>100</v>
      </c>
      <c r="E24" s="131" t="s">
        <v>455</v>
      </c>
      <c r="F24" s="132"/>
      <c r="G24" s="310">
        <f>COUNTIFS(AnmeldeListe!$K$46:$W$46,VLOOKUP(B24,Liste_Transportmittel,2,0),AnmeldeListe!$K$45:$W$45,"&gt;0")*km</f>
        <v>0</v>
      </c>
      <c r="H24" s="129"/>
      <c r="I24" s="129"/>
    </row>
    <row r="25" spans="1:10">
      <c r="B25" s="127" t="s">
        <v>213</v>
      </c>
      <c r="C25" s="130" t="s">
        <v>458</v>
      </c>
      <c r="D25" s="84">
        <v>200</v>
      </c>
      <c r="E25" s="131" t="s">
        <v>455</v>
      </c>
      <c r="F25" s="132"/>
      <c r="G25" s="310">
        <f>COUNTIFS(AnmeldeListe!$K$46:$W$46,VLOOKUP(B25,Liste_Transportmittel,2,0),AnmeldeListe!$K$45:$W$45,"&gt;0")*km</f>
        <v>0</v>
      </c>
      <c r="H25" s="129"/>
      <c r="I25" s="129"/>
      <c r="J25" s="714"/>
    </row>
    <row r="26" spans="1:10">
      <c r="B26" s="133" t="s">
        <v>225</v>
      </c>
      <c r="C26" s="130" t="s">
        <v>459</v>
      </c>
      <c r="D26" s="84">
        <v>5</v>
      </c>
      <c r="E26" s="84" t="s">
        <v>439</v>
      </c>
      <c r="F26" s="132"/>
      <c r="G26" s="310">
        <f>AnzTeiln-(COUNTIF(AnmeldeListe!L45:U45,"&gt;0")+AnmeldeListe!V45+AnmeldeListe!K45+AnmeldeListe!W45)</f>
        <v>3.000000000086267E-6</v>
      </c>
      <c r="H26" s="129"/>
      <c r="I26" s="129"/>
      <c r="J26" s="714"/>
    </row>
    <row r="27" spans="1:10">
      <c r="B27" s="127" t="s">
        <v>235</v>
      </c>
      <c r="C27" s="130" t="s">
        <v>460</v>
      </c>
      <c r="D27" s="84">
        <v>5</v>
      </c>
      <c r="E27" s="131" t="s">
        <v>461</v>
      </c>
      <c r="F27" s="134"/>
      <c r="G27" s="310">
        <f>COUNTIFS(AnmeldeListe!$K$46:$W$46,VLOOKUP(B27,Liste_Transportmittel,2,0),AnmeldeListe!$K$45:$W$45,"&gt;0")*km</f>
        <v>0</v>
      </c>
      <c r="H27" s="129"/>
      <c r="I27" s="129"/>
    </row>
    <row r="28" spans="1:10">
      <c r="B28" s="127" t="s">
        <v>25</v>
      </c>
      <c r="C28" s="130" t="s">
        <v>462</v>
      </c>
      <c r="D28" s="84">
        <v>20</v>
      </c>
      <c r="E28" s="84" t="s">
        <v>461</v>
      </c>
      <c r="F28" s="132"/>
      <c r="G28" s="310">
        <f>COUNTIFS(AnmeldeListe!$K$46:$W$46,VLOOKUP(B28,Liste_Transportmittel,2,0),AnmeldeListe!$K$45:$W$45,"&gt;0")*km</f>
        <v>0</v>
      </c>
      <c r="H28" s="129"/>
      <c r="I28" s="129"/>
      <c r="J28" s="714"/>
    </row>
    <row r="29" spans="1:10">
      <c r="B29" s="127" t="s">
        <v>253</v>
      </c>
      <c r="C29" s="130" t="s">
        <v>463</v>
      </c>
      <c r="D29" s="84">
        <v>100</v>
      </c>
      <c r="E29" s="84" t="s">
        <v>461</v>
      </c>
      <c r="F29" s="132"/>
      <c r="G29" s="310">
        <f>COUNTIFS(AnmeldeListe!$K$46:$W$46,VLOOKUP(B29,Liste_Transportmittel,2,0),AnmeldeListe!$K$45:$W$45,"&gt;0")*km*AnmeldeListe!K45</f>
        <v>0</v>
      </c>
      <c r="H29" s="129"/>
      <c r="I29" s="129"/>
    </row>
    <row r="30" spans="1:10">
      <c r="B30" s="127" t="s">
        <v>260</v>
      </c>
      <c r="C30" s="130" t="s">
        <v>464</v>
      </c>
      <c r="D30" s="84">
        <v>800</v>
      </c>
      <c r="E30" s="84" t="s">
        <v>461</v>
      </c>
      <c r="F30" s="132"/>
      <c r="G30" s="310">
        <f>COUNTIFS(AnmeldeListe!$K$46:$W$46,VLOOKUP(B30,Liste_Transportmittel,2,0),AnmeldeListe!$K$45:$W$45,"&gt;0")*km</f>
        <v>0</v>
      </c>
      <c r="H30" s="129"/>
      <c r="I30" s="129"/>
      <c r="J30" s="714"/>
    </row>
    <row r="31" spans="1:10">
      <c r="A31" s="135"/>
      <c r="B31" s="136" t="s">
        <v>269</v>
      </c>
      <c r="C31" s="137" t="s">
        <v>465</v>
      </c>
      <c r="D31" s="138">
        <v>0</v>
      </c>
      <c r="E31" s="138" t="s">
        <v>461</v>
      </c>
      <c r="F31" s="139"/>
      <c r="G31" s="310">
        <f>COUNTIFS(AnmeldeListe!$K$46:$W$46,VLOOKUP(B31,Liste_Transportmittel,2,0),AnmeldeListe!$K$45:$W$45,"&gt;0")*km</f>
        <v>0</v>
      </c>
      <c r="H31" s="140"/>
      <c r="I31" s="140"/>
      <c r="J31" s="714"/>
    </row>
    <row r="32" spans="1:10" ht="10.5" customHeight="1">
      <c r="B32" s="141"/>
      <c r="C32" s="142"/>
      <c r="D32" s="143"/>
      <c r="E32" s="143"/>
      <c r="F32" s="144" t="s">
        <v>449</v>
      </c>
      <c r="G32" s="145"/>
      <c r="H32" s="145"/>
      <c r="I32" s="145"/>
    </row>
    <row r="33" spans="1:9" ht="25.5" outlineLevel="1">
      <c r="B33" s="146" t="s">
        <v>466</v>
      </c>
      <c r="C33" s="147" t="s">
        <v>467</v>
      </c>
      <c r="D33" s="148">
        <v>100</v>
      </c>
      <c r="E33" s="149" t="s">
        <v>45</v>
      </c>
      <c r="F33" s="150"/>
      <c r="G33" s="151"/>
      <c r="H33" s="151"/>
      <c r="I33" s="151"/>
    </row>
    <row r="34" spans="1:9" outlineLevel="1">
      <c r="A34" s="141"/>
      <c r="B34" s="152" t="s">
        <v>178</v>
      </c>
      <c r="C34" s="153" t="s">
        <v>468</v>
      </c>
      <c r="D34" s="154">
        <v>0.5</v>
      </c>
      <c r="E34" s="154"/>
      <c r="F34" s="132"/>
      <c r="G34" s="155"/>
      <c r="H34" s="155"/>
      <c r="I34" s="155"/>
    </row>
    <row r="35" spans="1:9" outlineLevel="1">
      <c r="A35" s="141"/>
      <c r="B35" s="152" t="s">
        <v>189</v>
      </c>
      <c r="C35" s="153" t="s">
        <v>468</v>
      </c>
      <c r="D35" s="154">
        <v>0</v>
      </c>
      <c r="E35" s="154"/>
      <c r="F35" s="132"/>
      <c r="G35" s="155"/>
      <c r="H35" s="155"/>
      <c r="I35" s="155"/>
    </row>
    <row r="36" spans="1:9" outlineLevel="1">
      <c r="A36" s="141"/>
      <c r="B36" s="152" t="s">
        <v>201</v>
      </c>
      <c r="C36" s="153" t="s">
        <v>468</v>
      </c>
      <c r="D36" s="154">
        <v>0</v>
      </c>
      <c r="E36" s="154"/>
      <c r="F36" s="132"/>
      <c r="G36" s="155"/>
      <c r="H36" s="155"/>
      <c r="I36" s="155"/>
    </row>
    <row r="37" spans="1:9" outlineLevel="1">
      <c r="A37" s="141"/>
      <c r="B37" s="152" t="s">
        <v>213</v>
      </c>
      <c r="C37" s="153" t="s">
        <v>468</v>
      </c>
      <c r="D37" s="154">
        <v>0</v>
      </c>
      <c r="E37" s="154"/>
      <c r="F37" s="132"/>
      <c r="G37" s="155"/>
      <c r="H37" s="155"/>
      <c r="I37" s="155"/>
    </row>
    <row r="38" spans="1:9" outlineLevel="1">
      <c r="A38" s="141"/>
      <c r="B38" s="156" t="s">
        <v>225</v>
      </c>
      <c r="C38" s="153" t="s">
        <v>469</v>
      </c>
      <c r="D38" s="154">
        <v>0</v>
      </c>
      <c r="E38" s="154"/>
      <c r="F38" s="132"/>
      <c r="G38" s="155"/>
      <c r="H38" s="155"/>
      <c r="I38" s="155"/>
    </row>
    <row r="39" spans="1:9" outlineLevel="1">
      <c r="A39" s="141"/>
      <c r="B39" s="152" t="s">
        <v>235</v>
      </c>
      <c r="C39" s="153" t="s">
        <v>469</v>
      </c>
      <c r="D39" s="154">
        <v>0.1</v>
      </c>
      <c r="E39" s="154"/>
      <c r="F39" s="132"/>
      <c r="G39" s="155"/>
      <c r="H39" s="155"/>
      <c r="I39" s="155"/>
    </row>
    <row r="40" spans="1:9" outlineLevel="1">
      <c r="A40" s="141"/>
      <c r="B40" s="152" t="s">
        <v>25</v>
      </c>
      <c r="C40" s="153" t="s">
        <v>469</v>
      </c>
      <c r="D40" s="154">
        <v>0</v>
      </c>
      <c r="E40" s="154"/>
      <c r="F40" s="132"/>
      <c r="G40" s="155"/>
      <c r="H40" s="155"/>
      <c r="I40" s="155"/>
    </row>
    <row r="41" spans="1:9" outlineLevel="1">
      <c r="A41" s="141"/>
      <c r="B41" s="152" t="s">
        <v>253</v>
      </c>
      <c r="C41" s="153" t="s">
        <v>469</v>
      </c>
      <c r="D41" s="154">
        <v>0.1</v>
      </c>
      <c r="E41" s="154"/>
      <c r="F41" s="132"/>
      <c r="G41" s="155"/>
      <c r="H41" s="155"/>
      <c r="I41" s="155"/>
    </row>
    <row r="42" spans="1:9" outlineLevel="1">
      <c r="A42" s="141"/>
      <c r="B42" s="152" t="s">
        <v>260</v>
      </c>
      <c r="C42" s="153" t="s">
        <v>469</v>
      </c>
      <c r="D42" s="154">
        <v>0.3</v>
      </c>
      <c r="E42" s="154"/>
      <c r="F42" s="132"/>
      <c r="G42" s="155"/>
      <c r="H42" s="155"/>
      <c r="I42" s="155"/>
    </row>
    <row r="43" spans="1:9" outlineLevel="1">
      <c r="A43" s="157"/>
      <c r="B43" s="158" t="s">
        <v>269</v>
      </c>
      <c r="C43" s="159" t="s">
        <v>470</v>
      </c>
      <c r="D43" s="160">
        <v>0</v>
      </c>
      <c r="E43" s="161"/>
      <c r="F43" s="162"/>
      <c r="G43" s="155"/>
      <c r="H43" s="155"/>
      <c r="I43" s="155"/>
    </row>
    <row r="44" spans="1:9" ht="11.25" customHeight="1">
      <c r="A44" s="163"/>
      <c r="B44" s="141"/>
      <c r="C44" s="164"/>
      <c r="D44" s="165"/>
      <c r="E44" s="165"/>
      <c r="F44" s="166" t="s">
        <v>449</v>
      </c>
      <c r="G44" s="167"/>
      <c r="H44" s="167"/>
      <c r="I44" s="167"/>
    </row>
    <row r="45" spans="1:9">
      <c r="A45" s="168" t="s">
        <v>471</v>
      </c>
      <c r="B45" s="169"/>
      <c r="C45" s="170"/>
      <c r="D45" s="171"/>
      <c r="E45" s="172"/>
      <c r="F45" s="173"/>
      <c r="G45" s="119"/>
      <c r="H45" s="119"/>
      <c r="I45" s="119"/>
    </row>
    <row r="46" spans="1:9" outlineLevel="1">
      <c r="A46" s="174"/>
      <c r="B46" s="175" t="s">
        <v>472</v>
      </c>
      <c r="C46" s="176"/>
      <c r="D46" s="177"/>
      <c r="E46" s="178"/>
      <c r="F46" s="179"/>
      <c r="G46" s="180" t="str">
        <f t="shared" ref="G46:I46" si="3">IF(COUNTA(G48:G51)=0,"LEER",IF(AND(COUNTA(G48:G50)=3,COUNTA(G51)=0),"OK KOMPLEX",IF(AND(COUNTA(G48:G50)=0,COUNTA(G51)&gt;0),"OK EINFACH","FEHLER")))</f>
        <v>LEER</v>
      </c>
      <c r="H46" s="180" t="str">
        <f t="shared" si="3"/>
        <v>LEER</v>
      </c>
      <c r="I46" s="180" t="str">
        <f t="shared" si="3"/>
        <v>LEER</v>
      </c>
    </row>
    <row r="47" spans="1:9" outlineLevel="1">
      <c r="A47" s="181"/>
      <c r="B47" s="121" t="s">
        <v>453</v>
      </c>
      <c r="C47" s="182"/>
      <c r="D47" s="123"/>
      <c r="E47" s="124"/>
      <c r="F47" s="183"/>
      <c r="G47" s="126"/>
      <c r="H47" s="126"/>
      <c r="I47" s="126"/>
    </row>
    <row r="48" spans="1:9" outlineLevel="1">
      <c r="A48" s="184"/>
      <c r="B48" s="127" t="s">
        <v>473</v>
      </c>
      <c r="C48" s="130" t="s">
        <v>474</v>
      </c>
      <c r="D48" s="84">
        <v>1</v>
      </c>
      <c r="E48" s="84" t="s">
        <v>475</v>
      </c>
      <c r="F48" s="185"/>
      <c r="G48" s="86"/>
      <c r="H48" s="86"/>
      <c r="I48" s="86"/>
    </row>
    <row r="49" spans="1:9" outlineLevel="1">
      <c r="A49" s="186"/>
      <c r="B49" s="187" t="s">
        <v>476</v>
      </c>
      <c r="C49" s="130" t="s">
        <v>477</v>
      </c>
      <c r="D49" s="84" t="s">
        <v>478</v>
      </c>
      <c r="E49" s="84"/>
      <c r="F49" s="85"/>
      <c r="G49" s="204"/>
      <c r="H49" s="204"/>
      <c r="I49" s="204"/>
    </row>
    <row r="50" spans="1:9" outlineLevel="1">
      <c r="A50" s="188"/>
      <c r="B50" s="189" t="s">
        <v>479</v>
      </c>
      <c r="C50" s="137" t="s">
        <v>477</v>
      </c>
      <c r="D50" s="190" t="s">
        <v>480</v>
      </c>
      <c r="E50" s="190"/>
      <c r="F50" s="191"/>
      <c r="G50" s="1058"/>
      <c r="H50" s="1058"/>
      <c r="I50" s="1058"/>
    </row>
    <row r="51" spans="1:9" outlineLevel="1">
      <c r="A51" s="142"/>
      <c r="B51" s="192" t="s">
        <v>481</v>
      </c>
      <c r="C51" s="193" t="s">
        <v>482</v>
      </c>
      <c r="D51" s="194">
        <v>2050</v>
      </c>
      <c r="E51" s="165" t="s">
        <v>483</v>
      </c>
      <c r="F51" s="195"/>
      <c r="G51" s="145"/>
      <c r="H51" s="145"/>
      <c r="I51" s="145"/>
    </row>
    <row r="52" spans="1:9" outlineLevel="1">
      <c r="A52" s="196"/>
      <c r="B52" s="197" t="s">
        <v>484</v>
      </c>
      <c r="C52" s="196"/>
      <c r="D52" s="196"/>
      <c r="E52" s="198"/>
      <c r="F52" s="199"/>
      <c r="G52" s="200" t="str">
        <f t="shared" ref="G52:I52" si="4">IF(COUNTA(G54:G57)=0,"LEER",IF(AND(COUNTA(G54:G56)=3,COUNTA(G57)=0),"OK KOMPLEX",IF(AND(COUNTA(G54:G56)=0,COUNTA(G57)&gt;0),"OK EINFACH","FEHLER")))</f>
        <v>LEER</v>
      </c>
      <c r="H52" s="200" t="str">
        <f t="shared" si="4"/>
        <v>LEER</v>
      </c>
      <c r="I52" s="200" t="str">
        <f t="shared" si="4"/>
        <v>LEER</v>
      </c>
    </row>
    <row r="53" spans="1:9" outlineLevel="1">
      <c r="A53" s="181"/>
      <c r="B53" s="121" t="s">
        <v>453</v>
      </c>
      <c r="C53" s="182"/>
      <c r="D53" s="123"/>
      <c r="E53" s="124"/>
      <c r="F53" s="183"/>
      <c r="G53" s="126"/>
      <c r="H53" s="126"/>
      <c r="I53" s="126"/>
    </row>
    <row r="54" spans="1:9" outlineLevel="1">
      <c r="A54" s="186"/>
      <c r="B54" s="201" t="s">
        <v>473</v>
      </c>
      <c r="C54" s="202" t="s">
        <v>474</v>
      </c>
      <c r="D54" s="90">
        <v>1</v>
      </c>
      <c r="E54" s="90" t="s">
        <v>475</v>
      </c>
      <c r="F54" s="203"/>
      <c r="G54" s="204"/>
      <c r="H54" s="204"/>
      <c r="I54" s="204"/>
    </row>
    <row r="55" spans="1:9" outlineLevel="1">
      <c r="A55" s="186"/>
      <c r="B55" s="205" t="s">
        <v>476</v>
      </c>
      <c r="C55" s="206" t="s">
        <v>477</v>
      </c>
      <c r="D55" s="207" t="s">
        <v>480</v>
      </c>
      <c r="E55" s="207"/>
      <c r="F55" s="208"/>
      <c r="G55" s="204"/>
      <c r="H55" s="204"/>
      <c r="I55" s="204"/>
    </row>
    <row r="56" spans="1:9" outlineLevel="1">
      <c r="A56" s="188"/>
      <c r="B56" s="209" t="s">
        <v>479</v>
      </c>
      <c r="C56" s="210" t="s">
        <v>477</v>
      </c>
      <c r="D56" s="190" t="s">
        <v>478</v>
      </c>
      <c r="E56" s="190"/>
      <c r="F56" s="211"/>
      <c r="G56" s="1058"/>
      <c r="H56" s="1058"/>
      <c r="I56" s="1058"/>
    </row>
    <row r="57" spans="1:9" outlineLevel="1">
      <c r="A57" s="186"/>
      <c r="B57" s="212" t="s">
        <v>485</v>
      </c>
      <c r="C57" s="213" t="s">
        <v>486</v>
      </c>
      <c r="D57" s="84">
        <v>2030</v>
      </c>
      <c r="E57" s="84" t="s">
        <v>483</v>
      </c>
      <c r="F57" s="214"/>
      <c r="G57" s="215"/>
      <c r="H57" s="215"/>
      <c r="I57" s="215"/>
    </row>
    <row r="58" spans="1:9">
      <c r="A58" s="216" t="s">
        <v>487</v>
      </c>
      <c r="B58" s="217"/>
      <c r="C58" s="218"/>
      <c r="D58" s="219"/>
      <c r="E58" s="219"/>
      <c r="F58" s="220"/>
      <c r="G58" s="221" t="str">
        <f t="shared" ref="G58:I58" si="5">IF(COUNTA(G59:G66)=0,"LEER",IF(COUNTA(G59:G66)&gt;0,"OK","FEHLER"))</f>
        <v>OK</v>
      </c>
      <c r="H58" s="221" t="str">
        <f t="shared" si="5"/>
        <v>LEER</v>
      </c>
      <c r="I58" s="221" t="str">
        <f t="shared" si="5"/>
        <v>LEER</v>
      </c>
    </row>
    <row r="59" spans="1:9">
      <c r="B59" s="222" t="s">
        <v>277</v>
      </c>
      <c r="C59" s="153" t="s">
        <v>454</v>
      </c>
      <c r="D59" s="223">
        <v>10</v>
      </c>
      <c r="E59" s="223" t="s">
        <v>455</v>
      </c>
      <c r="F59" s="134"/>
      <c r="G59" s="310">
        <f>COUNTIFS(AnmeldeListe!$K$46:$W$46,VLOOKUP(B59,Liste_Transportmittel,2,0),AnmeldeListe!$K$45:$W$45,"&gt;0")*kmOrt</f>
        <v>0</v>
      </c>
      <c r="H59" s="215"/>
      <c r="I59" s="215"/>
    </row>
    <row r="60" spans="1:9">
      <c r="B60" s="222" t="s">
        <v>189</v>
      </c>
      <c r="C60" s="153" t="s">
        <v>456</v>
      </c>
      <c r="D60" s="223">
        <v>15</v>
      </c>
      <c r="E60" s="223" t="s">
        <v>455</v>
      </c>
      <c r="F60" s="224"/>
      <c r="G60" s="843">
        <v>0</v>
      </c>
      <c r="H60" s="225"/>
      <c r="I60" s="225"/>
    </row>
    <row r="61" spans="1:9">
      <c r="B61" s="222" t="s">
        <v>201</v>
      </c>
      <c r="C61" s="153" t="s">
        <v>457</v>
      </c>
      <c r="D61" s="223">
        <v>15</v>
      </c>
      <c r="E61" s="223" t="s">
        <v>455</v>
      </c>
      <c r="F61" s="132"/>
      <c r="G61" s="843">
        <v>0</v>
      </c>
      <c r="H61" s="225"/>
      <c r="I61" s="225"/>
    </row>
    <row r="62" spans="1:9">
      <c r="B62" s="152" t="s">
        <v>213</v>
      </c>
      <c r="C62" s="153" t="s">
        <v>458</v>
      </c>
      <c r="D62" s="223">
        <v>5</v>
      </c>
      <c r="E62" s="223" t="s">
        <v>455</v>
      </c>
      <c r="F62" s="132"/>
      <c r="G62" s="843">
        <v>0</v>
      </c>
      <c r="H62" s="225"/>
      <c r="I62" s="225"/>
    </row>
    <row r="63" spans="1:9">
      <c r="B63" s="152" t="s">
        <v>25</v>
      </c>
      <c r="C63" s="153" t="s">
        <v>488</v>
      </c>
      <c r="D63" s="223">
        <v>5</v>
      </c>
      <c r="E63" s="223" t="s">
        <v>461</v>
      </c>
      <c r="F63" s="132"/>
      <c r="G63" s="843">
        <v>0</v>
      </c>
      <c r="H63" s="225"/>
      <c r="I63" s="225"/>
    </row>
    <row r="64" spans="1:9">
      <c r="B64" s="222" t="s">
        <v>253</v>
      </c>
      <c r="C64" s="153" t="s">
        <v>489</v>
      </c>
      <c r="D64" s="223">
        <v>5</v>
      </c>
      <c r="E64" s="223" t="s">
        <v>461</v>
      </c>
      <c r="F64" s="132"/>
      <c r="G64" s="843">
        <v>0</v>
      </c>
      <c r="H64" s="225"/>
      <c r="I64" s="225"/>
    </row>
    <row r="65" spans="1:9">
      <c r="B65" s="226" t="s">
        <v>269</v>
      </c>
      <c r="C65" s="227" t="s">
        <v>490</v>
      </c>
      <c r="D65" s="223">
        <v>50</v>
      </c>
      <c r="E65" s="223" t="s">
        <v>455</v>
      </c>
      <c r="F65" s="132"/>
      <c r="G65" s="843">
        <v>0</v>
      </c>
      <c r="H65" s="225"/>
      <c r="I65" s="225"/>
    </row>
    <row r="66" spans="1:9">
      <c r="B66" s="158" t="s">
        <v>176</v>
      </c>
      <c r="C66" s="142" t="s">
        <v>491</v>
      </c>
      <c r="D66" s="228">
        <v>10</v>
      </c>
      <c r="E66" s="228" t="s">
        <v>492</v>
      </c>
      <c r="F66" s="229"/>
      <c r="G66" s="311">
        <f>LiftAnz*Personen</f>
        <v>0</v>
      </c>
      <c r="H66" s="230"/>
      <c r="I66" s="230"/>
    </row>
    <row r="67" spans="1:9" ht="12.75" customHeight="1">
      <c r="A67" s="163"/>
      <c r="B67" s="141" t="s">
        <v>493</v>
      </c>
      <c r="C67" s="87" t="s">
        <v>494</v>
      </c>
      <c r="D67" s="194" t="str">
        <f>IF(AND(D48+D51+D54+D57=0,D39+D40+D41+D42+D44&gt;=0.7,D32+D31+D30+D29+D28+D27&gt;=0.7*(D22+D23+D24+D25+D27+D28+D29+D30+D31+D32)),"Ja","Nein")</f>
        <v>Nein</v>
      </c>
      <c r="E67" s="194"/>
      <c r="F67" s="231" t="s">
        <v>495</v>
      </c>
      <c r="G67" s="232" t="str">
        <f t="shared" ref="G67:I67" si="6">IF(AND(G48+G51+G54+G57=0,G39+G40+G41+G42+G44&gt;=0.7,G32+G31+G30+G29+G28+G27&gt;=0.7*(G22+G23+G24+G25+G27+G28+G29+G30+G31+G32)),"Ja","Nein")</f>
        <v>Nein</v>
      </c>
      <c r="H67" s="232" t="str">
        <f t="shared" si="6"/>
        <v>Nein</v>
      </c>
      <c r="I67" s="232" t="str">
        <f t="shared" si="6"/>
        <v>Nein</v>
      </c>
    </row>
    <row r="68" spans="1:9">
      <c r="A68" s="233" t="s">
        <v>496</v>
      </c>
      <c r="B68" s="234"/>
      <c r="C68" s="235"/>
      <c r="D68" s="236"/>
      <c r="E68" s="236"/>
      <c r="F68" s="237"/>
      <c r="G68" s="180" t="str">
        <f t="shared" ref="G68:I68" si="7">IF(COUNTA(G70:G76)=0,"LEER",IF(COUNTA(G70:G76)&gt;0,"OK","FEHLER"))</f>
        <v>OK</v>
      </c>
      <c r="H68" s="180" t="str">
        <f t="shared" si="7"/>
        <v>LEER</v>
      </c>
      <c r="I68" s="180" t="str">
        <f t="shared" si="7"/>
        <v>LEER</v>
      </c>
    </row>
    <row r="69" spans="1:9">
      <c r="A69" s="238"/>
      <c r="B69" s="239"/>
      <c r="C69" s="239"/>
      <c r="D69" s="239"/>
      <c r="E69" s="239"/>
      <c r="F69" s="238"/>
      <c r="G69" s="126"/>
      <c r="H69" s="126"/>
      <c r="I69" s="126"/>
    </row>
    <row r="70" spans="1:9">
      <c r="B70" s="240" t="s">
        <v>199</v>
      </c>
      <c r="C70" s="1281" t="s">
        <v>497</v>
      </c>
      <c r="D70" s="223">
        <v>6</v>
      </c>
      <c r="E70" s="223" t="s">
        <v>3</v>
      </c>
      <c r="F70" s="214"/>
      <c r="G70" s="311">
        <f>COUNTIFS(AnmeldeListe!AD$4:AQ$4,VLOOKUP(B70,HilfeListe!P16:Q36,2,0),AnmeldeListe!AD$10:AQ$10,TRUE) +
COUNTIFS(AnmeldeListe!AD$4:AQ$4,VLOOKUP(B70,HilfeListe!P16:Q36,2,0),AnmeldeListe!AD$11:AQ$11,TRUE) +
COUNTIFS(AnmeldeListe!AD$4:AQ$4,VLOOKUP(B70,HilfeListe!P16:Q36,2,0),AnmeldeListe!AD$12:AQ$12,TRUE) +
COUNTIFS(AnmeldeListe!AD$4:AQ$4,VLOOKUP(B70,HilfeListe!P16:Q36,2,0),AnmeldeListe!AD$13:AQ$13,TRUE) +
COUNTIFS(AnmeldeListe!AD$4:AQ$4,VLOOKUP(B70,HilfeListe!P16:Q36,2,0),AnmeldeListe!AD$14:AQ$14,TRUE) +
COUNTIFS(AnmeldeListe!AD$4:AQ$4,VLOOKUP(B70,HilfeListe!P16:Q36,2,0),AnmeldeListe!AD$15:AQ$15,TRUE) +
COUNTIFS(AnmeldeListe!AD$4:AQ$4,VLOOKUP(B70,HilfeListe!P16:Q36,2,0),AnmeldeListe!AD$16:AQ$16,TRUE) +
COUNTIFS(AnmeldeListe!AD$4:AQ$4,VLOOKUP(B70,HilfeListe!P16:Q36,2,0),AnmeldeListe!AD$17:AQ$17,TRUE) +
COUNTIFS(AnmeldeListe!AD$4:AQ$4,VLOOKUP(B70,HilfeListe!P16:Q36,2,0),AnmeldeListe!AD$18:AQ$18,TRUE) +
COUNTIFS(AnmeldeListe!AD$4:AQ$4,VLOOKUP(B70,HilfeListe!P16:Q36,2,0),AnmeldeListe!AD$19:AQ$19,TRUE) +
COUNTIFS(AnmeldeListe!AD$4:AQ$4,VLOOKUP(B70,HilfeListe!P16:Q36,2,0),AnmeldeListe!AD$20:AQ$20,TRUE) +
COUNTIFS(AnmeldeListe!AD$4:AQ$4,VLOOKUP(B70,HilfeListe!P16:Q36,2,0),AnmeldeListe!AD$21:AQ$21,TRUE) +
COUNTIFS(AnmeldeListe!AD$4:AQ$4,VLOOKUP(B70,HilfeListe!P16:Q36,2,0),AnmeldeListe!AD$22:AQ$22,TRUE) +
COUNTIFS(AnmeldeListe!AD$4:AQ$4,VLOOKUP(B70,HilfeListe!P16:Q36,2,0),AnmeldeListe!AD$23:AQ$23,TRUE) +
COUNTIFS(AnmeldeListe!AD$4:AQ$4,VLOOKUP(B70,HilfeListe!P16:Q36,2,0),AnmeldeListe!AD$24:AQ$24,TRUE) +
COUNTIFS(AnmeldeListe!AD$4:AQ$4,VLOOKUP(B70,HilfeListe!P16:Q36,2,0),AnmeldeListe!AD$25:AQ$25,TRUE) +
COUNTIFS(AnmeldeListe!AD$4:AQ$4,VLOOKUP(B70,HilfeListe!P16:Q36,2,0),AnmeldeListe!AD$34:AQ$34,TRUE) +
COUNTIFS(AnmeldeListe!AD$4:AQ$4,VLOOKUP(B70,HilfeListe!P16:Q36,2,0),AnmeldeListe!AD$35:AQ$35,TRUE) +
COUNTIFS(AnmeldeListe!AD$4:AQ$4,VLOOKUP(B70,HilfeListe!P16:Q36,2,0),AnmeldeListe!AD$36:AQ$36,TRUE) +
COUNTIFS(AnmeldeListe!AD$4:AQ$4,VLOOKUP(B70,HilfeListe!P16:Q36,2,0),AnmeldeListe!AD$37:AQ$37,TRUE)</f>
        <v>1</v>
      </c>
      <c r="H70" s="225"/>
      <c r="I70" s="225"/>
    </row>
    <row r="71" spans="1:9">
      <c r="B71" s="240" t="s">
        <v>212</v>
      </c>
      <c r="C71" s="1282"/>
      <c r="D71" s="223">
        <v>0</v>
      </c>
      <c r="E71" s="223" t="s">
        <v>3</v>
      </c>
      <c r="F71" s="132"/>
      <c r="G71" s="311">
        <f>COUNTIFS(AnmeldeListe!AD$4:AQ$4,VLOOKUP(B71,HilfeListe!P17:Q37,2,0),AnmeldeListe!AD$10:AQ$10,TRUE) +
COUNTIFS(AnmeldeListe!AD$4:AQ$4,VLOOKUP(B71,HilfeListe!P17:Q37,2,0),AnmeldeListe!AD$11:AQ$11,TRUE) +
COUNTIFS(AnmeldeListe!AD$4:AQ$4,VLOOKUP(B71,HilfeListe!P17:Q37,2,0),AnmeldeListe!AD$12:AQ$12,TRUE) +
COUNTIFS(AnmeldeListe!AD$4:AQ$4,VLOOKUP(B71,HilfeListe!P17:Q37,2,0),AnmeldeListe!AD$13:AQ$13,TRUE) +
COUNTIFS(AnmeldeListe!AD$4:AQ$4,VLOOKUP(B71,HilfeListe!P17:Q37,2,0),AnmeldeListe!AD$14:AQ$14,TRUE) +
COUNTIFS(AnmeldeListe!AD$4:AQ$4,VLOOKUP(B71,HilfeListe!P17:Q37,2,0),AnmeldeListe!AD$15:AQ$15,TRUE) +
COUNTIFS(AnmeldeListe!AD$4:AQ$4,VLOOKUP(B71,HilfeListe!P17:Q37,2,0),AnmeldeListe!AD$16:AQ$16,TRUE) +
COUNTIFS(AnmeldeListe!AD$4:AQ$4,VLOOKUP(B71,HilfeListe!P17:Q37,2,0),AnmeldeListe!AD$17:AQ$17,TRUE) +
COUNTIFS(AnmeldeListe!AD$4:AQ$4,VLOOKUP(B71,HilfeListe!P17:Q37,2,0),AnmeldeListe!AD$18:AQ$18,TRUE) +
COUNTIFS(AnmeldeListe!AD$4:AQ$4,VLOOKUP(B71,HilfeListe!P17:Q37,2,0),AnmeldeListe!AD$19:AQ$19,TRUE) +
COUNTIFS(AnmeldeListe!AD$4:AQ$4,VLOOKUP(B71,HilfeListe!P17:Q37,2,0),AnmeldeListe!AD$20:AQ$20,TRUE) +
COUNTIFS(AnmeldeListe!AD$4:AQ$4,VLOOKUP(B71,HilfeListe!P17:Q37,2,0),AnmeldeListe!AD$21:AQ$21,TRUE) +
COUNTIFS(AnmeldeListe!AD$4:AQ$4,VLOOKUP(B71,HilfeListe!P17:Q37,2,0),AnmeldeListe!AD$22:AQ$22,TRUE) +
COUNTIFS(AnmeldeListe!AD$4:AQ$4,VLOOKUP(B71,HilfeListe!P17:Q37,2,0),AnmeldeListe!AD$23:AQ$23,TRUE) +
COUNTIFS(AnmeldeListe!AD$4:AQ$4,VLOOKUP(B71,HilfeListe!P17:Q37,2,0),AnmeldeListe!AD$24:AQ$24,TRUE) +
COUNTIFS(AnmeldeListe!AD$4:AQ$4,VLOOKUP(B71,HilfeListe!P17:Q37,2,0),AnmeldeListe!AD$25:AQ$25,TRUE) +
COUNTIFS(AnmeldeListe!AD$4:AQ$4,VLOOKUP(B71,HilfeListe!P17:Q37,2,0),AnmeldeListe!AD$34:AQ$34,TRUE) +
COUNTIFS(AnmeldeListe!AD$4:AQ$4,VLOOKUP(B71,HilfeListe!P17:Q37,2,0),AnmeldeListe!AD$35:AQ$35,TRUE) +
COUNTIFS(AnmeldeListe!AD$4:AQ$4,VLOOKUP(B71,HilfeListe!P17:Q37,2,0),AnmeldeListe!AD$36:AQ$36,TRUE) +
COUNTIFS(AnmeldeListe!AD$4:AQ$4,VLOOKUP(B71,HilfeListe!P17:Q37,2,0),AnmeldeListe!AD$37:AQ$37,TRUE)</f>
        <v>1</v>
      </c>
      <c r="H71" s="225"/>
      <c r="I71" s="225"/>
    </row>
    <row r="72" spans="1:9">
      <c r="B72" s="240" t="s">
        <v>498</v>
      </c>
      <c r="C72" s="1282"/>
      <c r="D72" s="223">
        <v>0</v>
      </c>
      <c r="E72" s="223" t="s">
        <v>3</v>
      </c>
      <c r="F72" s="132"/>
      <c r="G72" s="311">
        <f>COUNTIFS(AnmeldeListe!AD$4:AQ$4,VLOOKUP(B72,HilfeListe!P18:Q38,2,0),AnmeldeListe!AD$10:AQ$10,TRUE) +
COUNTIFS(AnmeldeListe!AD$4:AQ$4,VLOOKUP(B72,HilfeListe!P18:Q38,2,0),AnmeldeListe!AD$11:AQ$11,TRUE) +
COUNTIFS(AnmeldeListe!AD$4:AQ$4,VLOOKUP(B72,HilfeListe!P18:Q38,2,0),AnmeldeListe!AD$12:AQ$12,TRUE) +
COUNTIFS(AnmeldeListe!AD$4:AQ$4,VLOOKUP(B72,HilfeListe!P18:Q38,2,0),AnmeldeListe!AD$13:AQ$13,TRUE) +
COUNTIFS(AnmeldeListe!AD$4:AQ$4,VLOOKUP(B72,HilfeListe!P18:Q38,2,0),AnmeldeListe!AD$14:AQ$14,TRUE) +
COUNTIFS(AnmeldeListe!AD$4:AQ$4,VLOOKUP(B72,HilfeListe!P18:Q38,2,0),AnmeldeListe!AD$15:AQ$15,TRUE) +
COUNTIFS(AnmeldeListe!AD$4:AQ$4,VLOOKUP(B72,HilfeListe!P18:Q38,2,0),AnmeldeListe!AD$16:AQ$16,TRUE) +
COUNTIFS(AnmeldeListe!AD$4:AQ$4,VLOOKUP(B72,HilfeListe!P18:Q38,2,0),AnmeldeListe!AD$17:AQ$17,TRUE) +
COUNTIFS(AnmeldeListe!AD$4:AQ$4,VLOOKUP(B72,HilfeListe!P18:Q38,2,0),AnmeldeListe!AD$18:AQ$18,TRUE) +
COUNTIFS(AnmeldeListe!AD$4:AQ$4,VLOOKUP(B72,HilfeListe!P18:Q38,2,0),AnmeldeListe!AD$19:AQ$19,TRUE) +
COUNTIFS(AnmeldeListe!AD$4:AQ$4,VLOOKUP(B72,HilfeListe!P18:Q38,2,0),AnmeldeListe!AD$20:AQ$20,TRUE) +
COUNTIFS(AnmeldeListe!AD$4:AQ$4,VLOOKUP(B72,HilfeListe!P18:Q38,2,0),AnmeldeListe!AD$21:AQ$21,TRUE) +
COUNTIFS(AnmeldeListe!AD$4:AQ$4,VLOOKUP(B72,HilfeListe!P18:Q38,2,0),AnmeldeListe!AD$22:AQ$22,TRUE) +
COUNTIFS(AnmeldeListe!AD$4:AQ$4,VLOOKUP(B72,HilfeListe!P18:Q38,2,0),AnmeldeListe!AD$23:AQ$23,TRUE) +
COUNTIFS(AnmeldeListe!AD$4:AQ$4,VLOOKUP(B72,HilfeListe!P18:Q38,2,0),AnmeldeListe!AD$24:AQ$24,TRUE) +
COUNTIFS(AnmeldeListe!AD$4:AQ$4,VLOOKUP(B72,HilfeListe!P18:Q38,2,0),AnmeldeListe!AD$25:AQ$25,TRUE) +
COUNTIFS(AnmeldeListe!AD$4:AQ$4,VLOOKUP(B72,HilfeListe!P18:Q38,2,0),AnmeldeListe!AD$34:AQ$34,TRUE) +
COUNTIFS(AnmeldeListe!AD$4:AQ$4,VLOOKUP(B72,HilfeListe!P18:Q38,2,0),AnmeldeListe!AD$35:AQ$35,TRUE) +
COUNTIFS(AnmeldeListe!AD$4:AQ$4,VLOOKUP(B72,HilfeListe!P18:Q38,2,0),AnmeldeListe!AD$36:AQ$36,TRUE) +
COUNTIFS(AnmeldeListe!AD$4:AQ$4,VLOOKUP(B72,HilfeListe!P18:Q38,2,0),AnmeldeListe!AD$37:AQ$37,TRUE)</f>
        <v>0</v>
      </c>
      <c r="H72" s="225"/>
      <c r="I72" s="225"/>
    </row>
    <row r="73" spans="1:9">
      <c r="B73" s="240" t="s">
        <v>499</v>
      </c>
      <c r="C73" s="1282"/>
      <c r="D73" s="223">
        <v>0</v>
      </c>
      <c r="E73" s="223" t="s">
        <v>3</v>
      </c>
      <c r="F73" s="132"/>
      <c r="G73" s="311">
        <f>COUNTIFS(AnmeldeListe!AD$4:AQ$4,VLOOKUP(B73,HilfeListe!P19:Q39,2,0),AnmeldeListe!AD$10:AQ$10,TRUE) +
COUNTIFS(AnmeldeListe!AD$4:AQ$4,VLOOKUP(B73,HilfeListe!P19:Q39,2,0),AnmeldeListe!AD$11:AQ$11,TRUE) +
COUNTIFS(AnmeldeListe!AD$4:AQ$4,VLOOKUP(B73,HilfeListe!P19:Q39,2,0),AnmeldeListe!AD$12:AQ$12,TRUE) +
COUNTIFS(AnmeldeListe!AD$4:AQ$4,VLOOKUP(B73,HilfeListe!P19:Q39,2,0),AnmeldeListe!AD$13:AQ$13,TRUE) +
COUNTIFS(AnmeldeListe!AD$4:AQ$4,VLOOKUP(B73,HilfeListe!P19:Q39,2,0),AnmeldeListe!AD$14:AQ$14,TRUE) +
COUNTIFS(AnmeldeListe!AD$4:AQ$4,VLOOKUP(B73,HilfeListe!P19:Q39,2,0),AnmeldeListe!AD$15:AQ$15,TRUE) +
COUNTIFS(AnmeldeListe!AD$4:AQ$4,VLOOKUP(B73,HilfeListe!P19:Q39,2,0),AnmeldeListe!AD$16:AQ$16,TRUE) +
COUNTIFS(AnmeldeListe!AD$4:AQ$4,VLOOKUP(B73,HilfeListe!P19:Q39,2,0),AnmeldeListe!AD$17:AQ$17,TRUE) +
COUNTIFS(AnmeldeListe!AD$4:AQ$4,VLOOKUP(B73,HilfeListe!P19:Q39,2,0),AnmeldeListe!AD$18:AQ$18,TRUE) +
COUNTIFS(AnmeldeListe!AD$4:AQ$4,VLOOKUP(B73,HilfeListe!P19:Q39,2,0),AnmeldeListe!AD$19:AQ$19,TRUE) +
COUNTIFS(AnmeldeListe!AD$4:AQ$4,VLOOKUP(B73,HilfeListe!P19:Q39,2,0),AnmeldeListe!AD$20:AQ$20,TRUE) +
COUNTIFS(AnmeldeListe!AD$4:AQ$4,VLOOKUP(B73,HilfeListe!P19:Q39,2,0),AnmeldeListe!AD$21:AQ$21,TRUE) +
COUNTIFS(AnmeldeListe!AD$4:AQ$4,VLOOKUP(B73,HilfeListe!P19:Q39,2,0),AnmeldeListe!AD$22:AQ$22,TRUE) +
COUNTIFS(AnmeldeListe!AD$4:AQ$4,VLOOKUP(B73,HilfeListe!P19:Q39,2,0),AnmeldeListe!AD$23:AQ$23,TRUE) +
COUNTIFS(AnmeldeListe!AD$4:AQ$4,VLOOKUP(B73,HilfeListe!P19:Q39,2,0),AnmeldeListe!AD$24:AQ$24,TRUE) +
COUNTIFS(AnmeldeListe!AD$4:AQ$4,VLOOKUP(B73,HilfeListe!P19:Q39,2,0),AnmeldeListe!AD$25:AQ$25,TRUE) +
COUNTIFS(AnmeldeListe!AD$4:AQ$4,VLOOKUP(B73,HilfeListe!P19:Q39,2,0),AnmeldeListe!AD$34:AQ$34,TRUE) +
COUNTIFS(AnmeldeListe!AD$4:AQ$4,VLOOKUP(B73,HilfeListe!P19:Q39,2,0),AnmeldeListe!AD$35:AQ$35,TRUE) +
COUNTIFS(AnmeldeListe!AD$4:AQ$4,VLOOKUP(B73,HilfeListe!P19:Q39,2,0),AnmeldeListe!AD$36:AQ$36,TRUE) +
COUNTIFS(AnmeldeListe!AD$4:AQ$4,VLOOKUP(B73,HilfeListe!P19:Q39,2,0),AnmeldeListe!AD$37:AQ$37,TRUE)</f>
        <v>0</v>
      </c>
      <c r="H73" s="225"/>
      <c r="I73" s="225"/>
    </row>
    <row r="74" spans="1:9">
      <c r="B74" s="240" t="s">
        <v>224</v>
      </c>
      <c r="C74" s="1282"/>
      <c r="D74" s="223">
        <v>0</v>
      </c>
      <c r="E74" s="223" t="s">
        <v>3</v>
      </c>
      <c r="F74" s="132"/>
      <c r="G74" s="311">
        <f>COUNTIFS(AnmeldeListe!AD$4:AQ$4,VLOOKUP(B74,HilfeListe!P20:Q44,2,0),AnmeldeListe!AD$10:AQ$10,TRUE) +
COUNTIFS(AnmeldeListe!AD$4:AQ$4,VLOOKUP(B74,HilfeListe!P20:Q44,2,0),AnmeldeListe!AD$11:AQ$11,TRUE) +
COUNTIFS(AnmeldeListe!AD$4:AQ$4,VLOOKUP(B74,HilfeListe!P20:Q44,2,0),AnmeldeListe!AD$12:AQ$12,TRUE) +
COUNTIFS(AnmeldeListe!AD$4:AQ$4,VLOOKUP(B74,HilfeListe!P20:Q44,2,0),AnmeldeListe!AD$13:AQ$13,TRUE) +
COUNTIFS(AnmeldeListe!AD$4:AQ$4,VLOOKUP(B74,HilfeListe!P20:Q44,2,0),AnmeldeListe!AD$14:AQ$14,TRUE) +
COUNTIFS(AnmeldeListe!AD$4:AQ$4,VLOOKUP(B74,HilfeListe!P20:Q44,2,0),AnmeldeListe!AD$15:AQ$15,TRUE) +
COUNTIFS(AnmeldeListe!AD$4:AQ$4,VLOOKUP(B74,HilfeListe!P20:Q44,2,0),AnmeldeListe!AD$16:AQ$16,TRUE) +
COUNTIFS(AnmeldeListe!AD$4:AQ$4,VLOOKUP(B74,HilfeListe!P20:Q44,2,0),AnmeldeListe!AD$17:AQ$17,TRUE) +
COUNTIFS(AnmeldeListe!AD$4:AQ$4,VLOOKUP(B74,HilfeListe!P20:Q44,2,0),AnmeldeListe!AD$18:AQ$18,TRUE) +
COUNTIFS(AnmeldeListe!AD$4:AQ$4,VLOOKUP(B74,HilfeListe!P20:Q44,2,0),AnmeldeListe!AD$19:AQ$19,TRUE) +
COUNTIFS(AnmeldeListe!AD$4:AQ$4,VLOOKUP(B74,HilfeListe!P20:Q44,2,0),AnmeldeListe!AD$20:AQ$20,TRUE) +
COUNTIFS(AnmeldeListe!AD$4:AQ$4,VLOOKUP(B74,HilfeListe!P20:Q44,2,0),AnmeldeListe!AD$21:AQ$21,TRUE) +
COUNTIFS(AnmeldeListe!AD$4:AQ$4,VLOOKUP(B74,HilfeListe!P20:Q44,2,0),AnmeldeListe!AD$22:AQ$22,TRUE) +
COUNTIFS(AnmeldeListe!AD$4:AQ$4,VLOOKUP(B74,HilfeListe!P20:Q44,2,0),AnmeldeListe!AD$23:AQ$23,TRUE) +
COUNTIFS(AnmeldeListe!AD$4:AQ$4,VLOOKUP(B74,HilfeListe!P20:Q44,2,0),AnmeldeListe!AD$24:AQ$24,TRUE) +
COUNTIFS(AnmeldeListe!AD$4:AQ$4,VLOOKUP(B74,HilfeListe!P20:Q44,2,0),AnmeldeListe!AD$25:AQ$25,TRUE) +
COUNTIFS(AnmeldeListe!AD$4:AQ$4,VLOOKUP(B74,HilfeListe!P20:Q44,2,0),AnmeldeListe!AD$34:AQ$34,TRUE) +
COUNTIFS(AnmeldeListe!AD$4:AQ$4,VLOOKUP(B74,HilfeListe!P20:Q44,2,0),AnmeldeListe!AD$35:AQ$35,TRUE) +
COUNTIFS(AnmeldeListe!AD$4:AQ$4,VLOOKUP(B74,HilfeListe!P20:Q44,2,0),AnmeldeListe!AD$36:AQ$36,TRUE) +
COUNTIFS(AnmeldeListe!AD$4:AQ$4,VLOOKUP(B74,HilfeListe!P20:Q44,2,0),AnmeldeListe!AD$37:AQ$37,TRUE)</f>
        <v>0</v>
      </c>
      <c r="H74" s="225"/>
      <c r="I74" s="225"/>
    </row>
    <row r="75" spans="1:9">
      <c r="B75" s="240" t="s">
        <v>234</v>
      </c>
      <c r="C75" s="1282"/>
      <c r="D75" s="223">
        <v>6</v>
      </c>
      <c r="E75" s="223" t="s">
        <v>3</v>
      </c>
      <c r="F75" s="132"/>
      <c r="G75" s="311">
        <f>COUNTIFS(AnmeldeListe!AD$4:AQ$4,VLOOKUP(B75,HilfeListe!P21:Q46,2,0),AnmeldeListe!AD$10:AQ$10,TRUE) +
COUNTIFS(AnmeldeListe!AD$4:AQ$4,VLOOKUP(B75,HilfeListe!P21:Q46,2,0),AnmeldeListe!AD$11:AQ$11,TRUE) +
COUNTIFS(AnmeldeListe!AD$4:AQ$4,VLOOKUP(B75,HilfeListe!P21:Q46,2,0),AnmeldeListe!AD$12:AQ$12,TRUE) +
COUNTIFS(AnmeldeListe!AD$4:AQ$4,VLOOKUP(B75,HilfeListe!P21:Q46,2,0),AnmeldeListe!AD$13:AQ$13,TRUE) +
COUNTIFS(AnmeldeListe!AD$4:AQ$4,VLOOKUP(B75,HilfeListe!P21:Q46,2,0),AnmeldeListe!AD$14:AQ$14,TRUE) +
COUNTIFS(AnmeldeListe!AD$4:AQ$4,VLOOKUP(B75,HilfeListe!P21:Q46,2,0),AnmeldeListe!AD$15:AQ$15,TRUE) +
COUNTIFS(AnmeldeListe!AD$4:AQ$4,VLOOKUP(B75,HilfeListe!P21:Q46,2,0),AnmeldeListe!AD$16:AQ$16,TRUE) +
COUNTIFS(AnmeldeListe!AD$4:AQ$4,VLOOKUP(B75,HilfeListe!P21:Q46,2,0),AnmeldeListe!AD$17:AQ$17,TRUE) +
COUNTIFS(AnmeldeListe!AD$4:AQ$4,VLOOKUP(B75,HilfeListe!P21:Q46,2,0),AnmeldeListe!AD$18:AQ$18,TRUE) +
COUNTIFS(AnmeldeListe!AD$4:AQ$4,VLOOKUP(B75,HilfeListe!P21:Q46,2,0),AnmeldeListe!AD$19:AQ$19,TRUE) +
COUNTIFS(AnmeldeListe!AD$4:AQ$4,VLOOKUP(B75,HilfeListe!P21:Q46,2,0),AnmeldeListe!AD$20:AQ$20,TRUE) +
COUNTIFS(AnmeldeListe!AD$4:AQ$4,VLOOKUP(B75,HilfeListe!P21:Q46,2,0),AnmeldeListe!AD$21:AQ$21,TRUE) +
COUNTIFS(AnmeldeListe!AD$4:AQ$4,VLOOKUP(B75,HilfeListe!P21:Q46,2,0),AnmeldeListe!AD$22:AQ$22,TRUE) +
COUNTIFS(AnmeldeListe!AD$4:AQ$4,VLOOKUP(B75,HilfeListe!P21:Q46,2,0),AnmeldeListe!AD$23:AQ$23,TRUE) +
COUNTIFS(AnmeldeListe!AD$4:AQ$4,VLOOKUP(B75,HilfeListe!P21:Q46,2,0),AnmeldeListe!AD$24:AQ$24,TRUE) +
COUNTIFS(AnmeldeListe!AD$4:AQ$4,VLOOKUP(B75,HilfeListe!P21:Q46,2,0),AnmeldeListe!AD$25:AQ$25,TRUE) +
COUNTIFS(AnmeldeListe!AD$4:AQ$4,VLOOKUP(B75,HilfeListe!P21:Q46,2,0),AnmeldeListe!AD$34:AQ$34,TRUE) +
COUNTIFS(AnmeldeListe!AD$4:AQ$4,VLOOKUP(B75,HilfeListe!P21:Q46,2,0),AnmeldeListe!AD$35:AQ$35,TRUE) +
COUNTIFS(AnmeldeListe!AD$4:AQ$4,VLOOKUP(B75,HilfeListe!P21:Q46,2,0),AnmeldeListe!AD$36:AQ$36,TRUE) +
COUNTIFS(AnmeldeListe!AD$4:AQ$4,VLOOKUP(B75,HilfeListe!P21:Q46,2,0),AnmeldeListe!AD$37:AQ$37,TRUE)</f>
        <v>0</v>
      </c>
      <c r="H75" s="225"/>
      <c r="I75" s="225"/>
    </row>
    <row r="76" spans="1:9">
      <c r="B76" s="141" t="s">
        <v>245</v>
      </c>
      <c r="C76" s="1283"/>
      <c r="D76" s="194">
        <v>0</v>
      </c>
      <c r="E76" s="194" t="s">
        <v>3</v>
      </c>
      <c r="F76" s="241"/>
      <c r="G76" s="311">
        <f>COUNTIFS(AnmeldeListe!AD$4:AQ$4,VLOOKUP(B76,HilfeListe!P22:Q57,2,0),AnmeldeListe!AD$10:AQ$10,TRUE) +
COUNTIFS(AnmeldeListe!AD$4:AQ$4,VLOOKUP(B76,HilfeListe!P22:Q57,2,0),AnmeldeListe!AD$11:AQ$11,TRUE) +
COUNTIFS(AnmeldeListe!AD$4:AQ$4,VLOOKUP(B76,HilfeListe!P22:Q57,2,0),AnmeldeListe!AD$12:AQ$12,TRUE) +
COUNTIFS(AnmeldeListe!AD$4:AQ$4,VLOOKUP(B76,HilfeListe!P22:Q57,2,0),AnmeldeListe!AD$13:AQ$13,TRUE) +
COUNTIFS(AnmeldeListe!AD$4:AQ$4,VLOOKUP(B76,HilfeListe!P22:Q57,2,0),AnmeldeListe!AD$14:AQ$14,TRUE) +
COUNTIFS(AnmeldeListe!AD$4:AQ$4,VLOOKUP(B76,HilfeListe!P22:Q57,2,0),AnmeldeListe!AD$15:AQ$15,TRUE) +
COUNTIFS(AnmeldeListe!AD$4:AQ$4,VLOOKUP(B76,HilfeListe!P22:Q57,2,0),AnmeldeListe!AD$16:AQ$16,TRUE) +
COUNTIFS(AnmeldeListe!AD$4:AQ$4,VLOOKUP(B76,HilfeListe!P22:Q57,2,0),AnmeldeListe!AD$17:AQ$17,TRUE) +
COUNTIFS(AnmeldeListe!AD$4:AQ$4,VLOOKUP(B76,HilfeListe!P22:Q57,2,0),AnmeldeListe!AD$18:AQ$18,TRUE) +
COUNTIFS(AnmeldeListe!AD$4:AQ$4,VLOOKUP(B76,HilfeListe!P22:Q57,2,0),AnmeldeListe!AD$19:AQ$19,TRUE) +
COUNTIFS(AnmeldeListe!AD$4:AQ$4,VLOOKUP(B76,HilfeListe!P22:Q57,2,0),AnmeldeListe!AD$20:AQ$20,TRUE) +
COUNTIFS(AnmeldeListe!AD$4:AQ$4,VLOOKUP(B76,HilfeListe!P22:Q57,2,0),AnmeldeListe!AD$21:AQ$21,TRUE) +
COUNTIFS(AnmeldeListe!AD$4:AQ$4,VLOOKUP(B76,HilfeListe!P22:Q57,2,0),AnmeldeListe!AD$22:AQ$22,TRUE) +
COUNTIFS(AnmeldeListe!AD$4:AQ$4,VLOOKUP(B76,HilfeListe!P22:Q57,2,0),AnmeldeListe!AD$23:AQ$23,TRUE) +
COUNTIFS(AnmeldeListe!AD$4:AQ$4,VLOOKUP(B76,HilfeListe!P22:Q57,2,0),AnmeldeListe!AD$24:AQ$24,TRUE) +
COUNTIFS(AnmeldeListe!AD$4:AQ$4,VLOOKUP(B76,HilfeListe!P22:Q57,2,0),AnmeldeListe!AD$25:AQ$25,TRUE) +
COUNTIFS(AnmeldeListe!AD$4:AQ$4,VLOOKUP(B76,HilfeListe!P22:Q57,2,0),AnmeldeListe!AD$34:AQ$34,TRUE) +
COUNTIFS(AnmeldeListe!AD$4:AQ$4,VLOOKUP(B76,HilfeListe!P22:Q57,2,0),AnmeldeListe!AD$35:AQ$35,TRUE) +
COUNTIFS(AnmeldeListe!AD$4:AQ$4,VLOOKUP(B76,HilfeListe!P22:Q57,2,0),AnmeldeListe!AD$36:AQ$36,TRUE) +
COUNTIFS(AnmeldeListe!AD$4:AQ$4,VLOOKUP(B76,HilfeListe!P22:Q57,2,0),AnmeldeListe!AD$37:AQ$37,TRUE)</f>
        <v>0</v>
      </c>
      <c r="H76" s="230"/>
      <c r="I76" s="230"/>
    </row>
    <row r="77" spans="1:9" ht="6.75" customHeight="1">
      <c r="A77" s="242"/>
      <c r="B77" s="243"/>
      <c r="C77" s="244"/>
      <c r="D77" s="245"/>
      <c r="E77" s="245"/>
      <c r="F77" s="246"/>
      <c r="G77" s="247"/>
      <c r="H77" s="247"/>
      <c r="I77" s="247"/>
    </row>
    <row r="78" spans="1:9" ht="6.75" customHeight="1">
      <c r="B78" s="141"/>
      <c r="C78" s="1282"/>
      <c r="D78" s="223"/>
      <c r="E78" s="223"/>
      <c r="F78" s="248"/>
      <c r="G78" s="249"/>
      <c r="H78" s="249"/>
      <c r="I78" s="249"/>
    </row>
    <row r="79" spans="1:9" ht="6.75" customHeight="1">
      <c r="B79" s="141"/>
      <c r="C79" s="1284"/>
      <c r="D79" s="223"/>
      <c r="E79" s="223"/>
      <c r="F79" s="250"/>
      <c r="G79" s="249"/>
      <c r="H79" s="249"/>
      <c r="I79" s="249"/>
    </row>
    <row r="80" spans="1:9" ht="6.75" customHeight="1">
      <c r="B80" s="141"/>
      <c r="C80" s="1284"/>
      <c r="D80" s="223"/>
      <c r="E80" s="223"/>
      <c r="F80" s="250"/>
      <c r="G80" s="249"/>
      <c r="H80" s="249"/>
      <c r="I80" s="249"/>
    </row>
    <row r="81" spans="1:9" ht="6.75" customHeight="1">
      <c r="B81" s="141"/>
      <c r="C81" s="1284"/>
      <c r="D81" s="223"/>
      <c r="E81" s="223"/>
      <c r="F81" s="250"/>
      <c r="G81" s="249"/>
      <c r="H81" s="249"/>
      <c r="I81" s="249"/>
    </row>
    <row r="82" spans="1:9" ht="6.75" customHeight="1">
      <c r="B82" s="141"/>
      <c r="C82" s="1284"/>
      <c r="D82" s="223"/>
      <c r="E82" s="223"/>
      <c r="F82" s="250"/>
      <c r="G82" s="249"/>
      <c r="H82" s="249"/>
      <c r="I82" s="249"/>
    </row>
    <row r="83" spans="1:9">
      <c r="A83" s="251" t="s">
        <v>500</v>
      </c>
      <c r="B83" s="252"/>
      <c r="C83" s="253" t="s">
        <v>501</v>
      </c>
      <c r="D83" s="254"/>
      <c r="E83" s="254"/>
      <c r="F83" s="255"/>
      <c r="G83" s="256" t="str">
        <f t="shared" ref="G83:I83" si="8">IF(COUNTA(G84:G87)=0,"LEER",IF(G85+G86+G87&lt;&gt;1,"PROZENT FEHLER",IF(G84=0,"KEINE MAHLZEITEN","OK")))</f>
        <v>OK</v>
      </c>
      <c r="H83" s="256" t="str">
        <f t="shared" si="8"/>
        <v>LEER</v>
      </c>
      <c r="I83" s="256" t="str">
        <f t="shared" si="8"/>
        <v>LEER</v>
      </c>
    </row>
    <row r="84" spans="1:9" ht="25.5">
      <c r="B84" s="152" t="s">
        <v>502</v>
      </c>
      <c r="C84" s="147" t="s">
        <v>503</v>
      </c>
      <c r="D84" s="223">
        <v>20</v>
      </c>
      <c r="E84" s="223" t="s">
        <v>504</v>
      </c>
      <c r="F84" s="134"/>
      <c r="G84" s="312">
        <f>2*COUNTIF(TNL_Übernachtungen,TRUE)</f>
        <v>4</v>
      </c>
      <c r="H84" s="257"/>
      <c r="I84" s="257"/>
    </row>
    <row r="85" spans="1:9">
      <c r="B85" s="222" t="s">
        <v>505</v>
      </c>
      <c r="C85" s="153" t="s">
        <v>506</v>
      </c>
      <c r="D85" s="154">
        <v>0.4</v>
      </c>
      <c r="E85" s="223"/>
      <c r="F85" s="134"/>
      <c r="G85" s="313">
        <f>COUNTIF(AnmeldeListe!$BH$10:$BH$38,AnmeldeListe!BH6)/AnzTeiln</f>
        <v>0</v>
      </c>
      <c r="H85" s="258"/>
      <c r="I85" s="258"/>
    </row>
    <row r="86" spans="1:9">
      <c r="B86" s="222" t="s">
        <v>507</v>
      </c>
      <c r="C86" s="153" t="s">
        <v>508</v>
      </c>
      <c r="D86" s="154">
        <v>0</v>
      </c>
      <c r="E86" s="223"/>
      <c r="F86" s="134"/>
      <c r="G86" s="313">
        <f>COUNTIF(AnmeldeListe!$BH$10:$BH$38,AnmeldeListe!BH7)/AnzTeiln</f>
        <v>0</v>
      </c>
      <c r="H86" s="258"/>
      <c r="I86" s="258"/>
    </row>
    <row r="87" spans="1:9" ht="25.5">
      <c r="B87" s="259" t="s">
        <v>509</v>
      </c>
      <c r="C87" s="260" t="s">
        <v>510</v>
      </c>
      <c r="D87" s="160">
        <v>0.6</v>
      </c>
      <c r="E87" s="261"/>
      <c r="F87" s="229"/>
      <c r="G87" s="313">
        <f>COUNTIF(AnmeldeListe!$BH$10:$BH$38,AnmeldeListe!BH8)/AnzTeiln</f>
        <v>1</v>
      </c>
      <c r="H87" s="262"/>
      <c r="I87" s="262"/>
    </row>
    <row r="88" spans="1:9">
      <c r="A88" s="263" t="s">
        <v>511</v>
      </c>
      <c r="B88" s="264"/>
      <c r="C88" s="170"/>
      <c r="D88" s="171"/>
      <c r="E88" s="171"/>
      <c r="F88" s="265"/>
      <c r="G88" s="180" t="str">
        <f t="shared" ref="G88:I88" si="9">IF(COUNTA(G89:G90)=0,"LEER",IF(OR(AND(G90="Andere (z.B. Tagungsraum)",COUNTA(G91)=0),AND(G90&lt;&gt;"Andere (z.B. Tagungsraum)",COUNTA(G91)&gt;0)),"FEHLER",IF(COUNTA(G89:G90)=2,"OK","FEHLER")))</f>
        <v>OK</v>
      </c>
      <c r="H88" s="180" t="str">
        <f t="shared" si="9"/>
        <v>LEER</v>
      </c>
      <c r="I88" s="180" t="str">
        <f t="shared" si="9"/>
        <v>LEER</v>
      </c>
    </row>
    <row r="89" spans="1:9" ht="25.5">
      <c r="B89" s="266" t="s">
        <v>512</v>
      </c>
      <c r="C89" s="267" t="s">
        <v>513</v>
      </c>
      <c r="D89" s="268" t="s">
        <v>514</v>
      </c>
      <c r="E89" s="268"/>
      <c r="F89" s="269"/>
      <c r="G89" s="1059" t="str">
        <f>IF(ISERROR(FIND(HilfeListe!Q18,
AnmeldeListe!AC4 &amp;AnmeldeListe!AD4&amp; AnmeldeListe!AE4&amp; AnmeldeListe!AF4&amp;
AnmeldeListe!AG4&amp; AnmeldeListe!AH4&amp; AnmeldeListe!AI4&amp; AnmeldeListe!AJ4&amp;
AnmeldeListe!AK4&amp; AnmeldeListe!AL4&amp; AnmeldeListe!AM4&amp; AnmeldeListe!AN4&amp;
AnmeldeListe!AO4&amp; AnmeldeListe!AP4&amp; AnmeldeListe!AQ4,1)),"Nein","Ja")</f>
        <v>Ja</v>
      </c>
      <c r="H89" s="1060"/>
      <c r="I89" s="1060"/>
    </row>
    <row r="90" spans="1:9" ht="25.5">
      <c r="B90" s="270" t="s">
        <v>511</v>
      </c>
      <c r="C90" s="271" t="s">
        <v>515</v>
      </c>
      <c r="D90" s="272" t="s">
        <v>516</v>
      </c>
      <c r="E90" s="223"/>
      <c r="F90" s="224"/>
      <c r="G90" s="225" t="s">
        <v>516</v>
      </c>
      <c r="H90" s="225"/>
      <c r="I90" s="225"/>
    </row>
    <row r="91" spans="1:9">
      <c r="B91" s="273" t="s">
        <v>517</v>
      </c>
      <c r="C91" s="159" t="s">
        <v>518</v>
      </c>
      <c r="D91" s="274">
        <v>50</v>
      </c>
      <c r="E91" s="274" t="s">
        <v>519</v>
      </c>
      <c r="F91" s="275"/>
      <c r="G91" s="230"/>
      <c r="H91" s="230"/>
      <c r="I91" s="230"/>
    </row>
    <row r="92" spans="1:9">
      <c r="A92" s="276" t="s">
        <v>520</v>
      </c>
      <c r="B92" s="277"/>
      <c r="C92" s="278"/>
      <c r="D92" s="279"/>
      <c r="E92" s="279"/>
      <c r="F92" s="280"/>
      <c r="G92" s="221" t="str">
        <f t="shared" ref="G92:I92" si="10">IF(COUNTA(G93:G97)=0,"LEER",IF(AND(COUNTA(G95:G96)=2,COUNTA(G93)=1),"OK KOMPLEX",IF(AND(COUNTA(G97:G97)=1,COUNTA(G93)=1),"OK EINFACH","FEHLER")))</f>
        <v>LEER</v>
      </c>
      <c r="H92" s="221" t="str">
        <f t="shared" si="10"/>
        <v>LEER</v>
      </c>
      <c r="I92" s="221" t="str">
        <f t="shared" si="10"/>
        <v>LEER</v>
      </c>
    </row>
    <row r="93" spans="1:9">
      <c r="B93" s="152" t="s">
        <v>521</v>
      </c>
      <c r="C93" s="153" t="s">
        <v>522</v>
      </c>
      <c r="D93" s="281" t="s">
        <v>523</v>
      </c>
      <c r="E93" s="281"/>
      <c r="F93" s="282"/>
      <c r="G93" s="283"/>
      <c r="H93" s="283"/>
      <c r="I93" s="283"/>
    </row>
    <row r="94" spans="1:9">
      <c r="A94" s="284"/>
      <c r="B94" s="121" t="s">
        <v>453</v>
      </c>
      <c r="C94" s="137"/>
      <c r="D94" s="285"/>
      <c r="E94" s="285"/>
      <c r="F94" s="286"/>
      <c r="G94" s="287"/>
      <c r="H94" s="287"/>
      <c r="I94" s="287"/>
    </row>
    <row r="95" spans="1:9">
      <c r="B95" s="127" t="s">
        <v>524</v>
      </c>
      <c r="C95" s="130" t="s">
        <v>525</v>
      </c>
      <c r="D95" s="281">
        <v>50</v>
      </c>
      <c r="E95" s="281" t="s">
        <v>163</v>
      </c>
      <c r="F95" s="288"/>
      <c r="G95" s="204"/>
      <c r="H95" s="204"/>
      <c r="I95" s="204"/>
    </row>
    <row r="96" spans="1:9">
      <c r="A96" s="135"/>
      <c r="B96" s="289" t="s">
        <v>526</v>
      </c>
      <c r="C96" s="290" t="s">
        <v>527</v>
      </c>
      <c r="D96" s="291">
        <v>150</v>
      </c>
      <c r="E96" s="291" t="s">
        <v>45</v>
      </c>
      <c r="F96" s="292"/>
      <c r="G96" s="293"/>
      <c r="H96" s="293"/>
      <c r="I96" s="293"/>
    </row>
    <row r="97" spans="1:9" ht="25.5">
      <c r="A97" s="294"/>
      <c r="B97" s="295" t="s">
        <v>528</v>
      </c>
      <c r="C97" s="296" t="s">
        <v>529</v>
      </c>
      <c r="D97" s="297">
        <v>2500</v>
      </c>
      <c r="E97" s="297" t="s">
        <v>483</v>
      </c>
      <c r="F97" s="298"/>
      <c r="G97" s="299"/>
      <c r="H97" s="299"/>
      <c r="I97" s="299"/>
    </row>
    <row r="98" spans="1:9" ht="5.25" customHeight="1">
      <c r="A98" s="300"/>
      <c r="B98" s="300"/>
      <c r="C98" s="300"/>
      <c r="D98" s="300"/>
      <c r="E98" s="300"/>
      <c r="F98" s="300"/>
      <c r="G98" s="300"/>
      <c r="H98" s="300"/>
      <c r="I98" s="300"/>
    </row>
    <row r="99" spans="1:9" ht="5.25" customHeight="1" thickBot="1">
      <c r="A99" s="301"/>
      <c r="B99" s="301"/>
      <c r="C99" s="301"/>
      <c r="D99" s="301"/>
      <c r="E99" s="301"/>
      <c r="F99" s="301"/>
      <c r="G99" s="301"/>
      <c r="H99" s="301"/>
      <c r="I99" s="301"/>
    </row>
    <row r="100" spans="1:9" ht="13.5" thickTop="1">
      <c r="F100" s="63"/>
      <c r="G100" s="63"/>
      <c r="H100" s="63"/>
      <c r="I100" s="63"/>
    </row>
    <row r="101" spans="1:9">
      <c r="F101" s="63"/>
      <c r="G101" s="63"/>
      <c r="H101" s="63"/>
      <c r="I101" s="63"/>
    </row>
    <row r="102" spans="1:9">
      <c r="F102" s="63"/>
      <c r="G102" s="63"/>
      <c r="H102" s="63"/>
      <c r="I102" s="63"/>
    </row>
    <row r="103" spans="1:9">
      <c r="F103" s="63"/>
      <c r="G103" s="63"/>
      <c r="H103" s="63"/>
      <c r="I103" s="63"/>
    </row>
    <row r="104" spans="1:9">
      <c r="F104" s="63"/>
      <c r="G104" s="63"/>
      <c r="H104" s="63"/>
      <c r="I104" s="63"/>
    </row>
    <row r="105" spans="1:9">
      <c r="F105" s="63"/>
      <c r="G105" s="63"/>
      <c r="H105" s="63"/>
      <c r="I105" s="63"/>
    </row>
    <row r="106" spans="1:9">
      <c r="F106" s="63"/>
      <c r="G106" s="63"/>
      <c r="H106" s="63"/>
      <c r="I106" s="63"/>
    </row>
    <row r="107" spans="1:9">
      <c r="F107" s="63"/>
      <c r="G107" s="63"/>
      <c r="H107" s="63"/>
      <c r="I107" s="63"/>
    </row>
    <row r="108" spans="1:9">
      <c r="F108" s="63"/>
      <c r="G108" s="63"/>
      <c r="H108" s="63"/>
      <c r="I108" s="63"/>
    </row>
    <row r="109" spans="1:9">
      <c r="F109" s="63"/>
      <c r="G109" s="63"/>
      <c r="H109" s="63"/>
      <c r="I109" s="63"/>
    </row>
    <row r="110" spans="1:9">
      <c r="F110" s="63"/>
      <c r="G110" s="63"/>
      <c r="H110" s="63"/>
      <c r="I110" s="63"/>
    </row>
    <row r="111" spans="1:9">
      <c r="F111" s="63"/>
      <c r="G111" s="63"/>
      <c r="H111" s="63"/>
      <c r="I111" s="63"/>
    </row>
    <row r="112" spans="1:9">
      <c r="F112" s="63"/>
      <c r="G112" s="63"/>
      <c r="H112" s="63"/>
      <c r="I112" s="63"/>
    </row>
    <row r="113" spans="6:9">
      <c r="F113" s="63"/>
      <c r="G113" s="63"/>
      <c r="H113" s="63"/>
      <c r="I113" s="63"/>
    </row>
    <row r="114" spans="6:9">
      <c r="F114" s="63"/>
      <c r="G114" s="63"/>
      <c r="H114" s="63"/>
      <c r="I114" s="63"/>
    </row>
    <row r="115" spans="6:9">
      <c r="F115" s="63"/>
      <c r="G115" s="63"/>
      <c r="H115" s="63"/>
      <c r="I115" s="63"/>
    </row>
    <row r="116" spans="6:9">
      <c r="F116" s="63"/>
      <c r="G116" s="63"/>
      <c r="H116" s="63"/>
      <c r="I116" s="63"/>
    </row>
    <row r="117" spans="6:9">
      <c r="F117" s="63"/>
      <c r="G117" s="63"/>
      <c r="H117" s="63"/>
      <c r="I117" s="63"/>
    </row>
    <row r="118" spans="6:9">
      <c r="F118" s="63"/>
      <c r="G118" s="63"/>
      <c r="H118" s="63"/>
      <c r="I118" s="63"/>
    </row>
    <row r="119" spans="6:9">
      <c r="F119" s="63"/>
      <c r="G119" s="63"/>
      <c r="H119" s="63"/>
      <c r="I119" s="63"/>
    </row>
    <row r="120" spans="6:9">
      <c r="F120" s="63"/>
      <c r="G120" s="63"/>
      <c r="H120" s="63"/>
      <c r="I120" s="63"/>
    </row>
    <row r="121" spans="6:9">
      <c r="F121" s="63"/>
      <c r="G121" s="63"/>
      <c r="H121" s="63"/>
      <c r="I121" s="63"/>
    </row>
    <row r="122" spans="6:9">
      <c r="F122" s="63"/>
      <c r="G122" s="63"/>
      <c r="H122" s="63"/>
      <c r="I122" s="63"/>
    </row>
    <row r="123" spans="6:9">
      <c r="F123" s="63"/>
      <c r="G123" s="63"/>
      <c r="H123" s="63"/>
      <c r="I123" s="63"/>
    </row>
    <row r="124" spans="6:9">
      <c r="F124" s="63"/>
      <c r="G124" s="63"/>
      <c r="H124" s="63"/>
      <c r="I124" s="63"/>
    </row>
    <row r="125" spans="6:9">
      <c r="F125" s="63"/>
      <c r="G125" s="63"/>
      <c r="H125" s="63"/>
      <c r="I125" s="63"/>
    </row>
    <row r="126" spans="6:9">
      <c r="F126" s="63"/>
      <c r="G126" s="63"/>
      <c r="H126" s="63"/>
      <c r="I126" s="63"/>
    </row>
    <row r="127" spans="6:9">
      <c r="F127" s="63"/>
      <c r="G127" s="63"/>
      <c r="H127" s="63"/>
      <c r="I127" s="63"/>
    </row>
    <row r="128" spans="6:9">
      <c r="F128" s="63"/>
      <c r="G128" s="63"/>
      <c r="H128" s="63"/>
      <c r="I128" s="63"/>
    </row>
    <row r="129" spans="6:9">
      <c r="F129" s="63"/>
      <c r="G129" s="63"/>
      <c r="H129" s="63"/>
      <c r="I129" s="63"/>
    </row>
    <row r="130" spans="6:9">
      <c r="F130" s="63"/>
      <c r="G130" s="63"/>
      <c r="H130" s="63"/>
      <c r="I130" s="63"/>
    </row>
    <row r="131" spans="6:9">
      <c r="F131" s="63"/>
      <c r="G131" s="63"/>
      <c r="H131" s="63"/>
      <c r="I131" s="63"/>
    </row>
    <row r="132" spans="6:9">
      <c r="F132" s="63"/>
      <c r="G132" s="63"/>
      <c r="H132" s="63"/>
      <c r="I132" s="63"/>
    </row>
    <row r="133" spans="6:9">
      <c r="F133" s="63"/>
      <c r="G133" s="63"/>
      <c r="H133" s="63"/>
      <c r="I133" s="63"/>
    </row>
    <row r="134" spans="6:9">
      <c r="F134" s="63"/>
      <c r="G134" s="63"/>
      <c r="H134" s="63"/>
      <c r="I134" s="63"/>
    </row>
    <row r="135" spans="6:9">
      <c r="F135" s="63"/>
      <c r="G135" s="63"/>
      <c r="H135" s="63"/>
      <c r="I135" s="63"/>
    </row>
    <row r="136" spans="6:9">
      <c r="F136" s="63"/>
      <c r="G136" s="63"/>
      <c r="H136" s="63"/>
      <c r="I136" s="63"/>
    </row>
    <row r="137" spans="6:9">
      <c r="F137" s="63"/>
      <c r="G137" s="63"/>
      <c r="H137" s="63"/>
      <c r="I137" s="63"/>
    </row>
    <row r="138" spans="6:9">
      <c r="F138" s="63"/>
      <c r="G138" s="63"/>
      <c r="H138" s="63"/>
      <c r="I138" s="63"/>
    </row>
    <row r="139" spans="6:9">
      <c r="F139" s="63"/>
      <c r="G139" s="63"/>
      <c r="H139" s="63"/>
      <c r="I139" s="63"/>
    </row>
    <row r="140" spans="6:9">
      <c r="F140" s="63"/>
      <c r="G140" s="63"/>
      <c r="H140" s="63"/>
      <c r="I140" s="63"/>
    </row>
    <row r="141" spans="6:9">
      <c r="F141" s="63"/>
      <c r="G141" s="63"/>
      <c r="H141" s="63"/>
      <c r="I141" s="63"/>
    </row>
    <row r="142" spans="6:9">
      <c r="F142" s="63"/>
      <c r="G142" s="63"/>
      <c r="H142" s="63"/>
      <c r="I142" s="63"/>
    </row>
    <row r="143" spans="6:9">
      <c r="F143" s="63"/>
      <c r="G143" s="63"/>
      <c r="H143" s="63"/>
      <c r="I143" s="63"/>
    </row>
    <row r="144" spans="6:9">
      <c r="F144" s="63"/>
      <c r="G144" s="63"/>
      <c r="H144" s="63"/>
      <c r="I144" s="63"/>
    </row>
    <row r="145" spans="6:9">
      <c r="F145" s="63"/>
      <c r="G145" s="63"/>
      <c r="H145" s="63"/>
      <c r="I145" s="63"/>
    </row>
    <row r="146" spans="6:9">
      <c r="F146" s="63"/>
      <c r="G146" s="63"/>
      <c r="H146" s="63"/>
      <c r="I146" s="63"/>
    </row>
    <row r="147" spans="6:9">
      <c r="F147" s="63"/>
      <c r="G147" s="63"/>
      <c r="H147" s="63"/>
      <c r="I147" s="63"/>
    </row>
    <row r="148" spans="6:9">
      <c r="F148" s="63"/>
      <c r="G148" s="63"/>
      <c r="H148" s="63"/>
      <c r="I148" s="63"/>
    </row>
    <row r="149" spans="6:9">
      <c r="F149" s="63"/>
      <c r="G149" s="63"/>
      <c r="H149" s="63"/>
      <c r="I149" s="63"/>
    </row>
    <row r="150" spans="6:9">
      <c r="F150" s="63"/>
      <c r="G150" s="63"/>
      <c r="H150" s="63"/>
      <c r="I150" s="63"/>
    </row>
    <row r="151" spans="6:9">
      <c r="F151" s="63"/>
      <c r="G151" s="63"/>
      <c r="H151" s="63"/>
      <c r="I151" s="63"/>
    </row>
    <row r="152" spans="6:9">
      <c r="F152" s="63"/>
      <c r="G152" s="63"/>
      <c r="H152" s="63"/>
      <c r="I152" s="63"/>
    </row>
    <row r="153" spans="6:9">
      <c r="F153" s="63"/>
      <c r="G153" s="63"/>
      <c r="H153" s="63"/>
      <c r="I153" s="63"/>
    </row>
    <row r="154" spans="6:9">
      <c r="F154" s="63"/>
      <c r="G154" s="63"/>
      <c r="H154" s="63"/>
      <c r="I154" s="63"/>
    </row>
    <row r="155" spans="6:9">
      <c r="F155" s="63"/>
      <c r="G155" s="63"/>
      <c r="H155" s="63"/>
      <c r="I155" s="63"/>
    </row>
    <row r="156" spans="6:9">
      <c r="F156" s="63"/>
      <c r="G156" s="63"/>
      <c r="H156" s="63"/>
      <c r="I156" s="63"/>
    </row>
    <row r="157" spans="6:9">
      <c r="F157" s="63"/>
      <c r="G157" s="63"/>
      <c r="H157" s="63"/>
      <c r="I157" s="63"/>
    </row>
    <row r="158" spans="6:9">
      <c r="F158" s="63"/>
      <c r="G158" s="63"/>
      <c r="H158" s="63"/>
      <c r="I158" s="63"/>
    </row>
    <row r="159" spans="6:9">
      <c r="F159" s="63"/>
      <c r="G159" s="63"/>
      <c r="H159" s="63"/>
      <c r="I159" s="63"/>
    </row>
    <row r="160" spans="6:9">
      <c r="F160" s="63"/>
      <c r="G160" s="63"/>
      <c r="H160" s="63"/>
      <c r="I160" s="63"/>
    </row>
    <row r="161" spans="6:9">
      <c r="F161" s="63"/>
      <c r="G161" s="63"/>
      <c r="H161" s="63"/>
      <c r="I161" s="63"/>
    </row>
    <row r="162" spans="6:9">
      <c r="F162" s="63"/>
      <c r="G162" s="63"/>
      <c r="H162" s="63"/>
      <c r="I162" s="63"/>
    </row>
    <row r="163" spans="6:9">
      <c r="F163" s="63"/>
      <c r="G163" s="63"/>
      <c r="H163" s="63"/>
      <c r="I163" s="63"/>
    </row>
    <row r="164" spans="6:9">
      <c r="F164" s="63"/>
      <c r="G164" s="63"/>
      <c r="H164" s="63"/>
      <c r="I164" s="63"/>
    </row>
    <row r="165" spans="6:9">
      <c r="F165" s="63"/>
      <c r="G165" s="63"/>
      <c r="H165" s="63"/>
      <c r="I165" s="63"/>
    </row>
    <row r="166" spans="6:9">
      <c r="F166" s="63"/>
      <c r="G166" s="63"/>
      <c r="H166" s="63"/>
      <c r="I166" s="63"/>
    </row>
    <row r="167" spans="6:9">
      <c r="F167" s="63"/>
      <c r="G167" s="63"/>
      <c r="H167" s="63"/>
      <c r="I167" s="63"/>
    </row>
    <row r="168" spans="6:9">
      <c r="F168" s="63"/>
      <c r="G168" s="63"/>
      <c r="H168" s="63"/>
      <c r="I168" s="63"/>
    </row>
    <row r="169" spans="6:9">
      <c r="F169" s="63"/>
      <c r="G169" s="63"/>
      <c r="H169" s="63"/>
      <c r="I169" s="63"/>
    </row>
    <row r="170" spans="6:9">
      <c r="F170" s="63"/>
      <c r="G170" s="63"/>
      <c r="H170" s="63"/>
      <c r="I170" s="63"/>
    </row>
    <row r="171" spans="6:9">
      <c r="F171" s="63"/>
      <c r="G171" s="63"/>
      <c r="H171" s="63"/>
      <c r="I171" s="63"/>
    </row>
    <row r="172" spans="6:9">
      <c r="F172" s="63"/>
      <c r="G172" s="63"/>
      <c r="H172" s="63"/>
      <c r="I172" s="63"/>
    </row>
    <row r="173" spans="6:9">
      <c r="F173" s="63"/>
      <c r="G173" s="63"/>
      <c r="H173" s="63"/>
      <c r="I173" s="63"/>
    </row>
    <row r="174" spans="6:9">
      <c r="F174" s="63"/>
      <c r="G174" s="63"/>
      <c r="H174" s="63"/>
      <c r="I174" s="63"/>
    </row>
    <row r="175" spans="6:9">
      <c r="F175" s="63"/>
      <c r="G175" s="63"/>
      <c r="H175" s="63"/>
      <c r="I175" s="63"/>
    </row>
    <row r="176" spans="6:9">
      <c r="F176" s="63"/>
      <c r="G176" s="63"/>
      <c r="H176" s="63"/>
      <c r="I176" s="63"/>
    </row>
    <row r="177" spans="6:9">
      <c r="F177" s="63"/>
      <c r="G177" s="63"/>
      <c r="H177" s="63"/>
      <c r="I177" s="63"/>
    </row>
    <row r="178" spans="6:9">
      <c r="F178" s="63"/>
      <c r="G178" s="63"/>
      <c r="H178" s="63"/>
      <c r="I178" s="63"/>
    </row>
    <row r="179" spans="6:9">
      <c r="F179" s="63"/>
      <c r="G179" s="63"/>
      <c r="H179" s="63"/>
      <c r="I179" s="63"/>
    </row>
    <row r="180" spans="6:9">
      <c r="F180" s="63"/>
      <c r="G180" s="63"/>
      <c r="H180" s="63"/>
      <c r="I180" s="63"/>
    </row>
    <row r="181" spans="6:9">
      <c r="F181" s="63"/>
      <c r="G181" s="63"/>
      <c r="H181" s="63"/>
      <c r="I181" s="63"/>
    </row>
    <row r="182" spans="6:9">
      <c r="F182" s="63"/>
      <c r="G182" s="63"/>
      <c r="H182" s="63"/>
      <c r="I182" s="63"/>
    </row>
    <row r="183" spans="6:9">
      <c r="F183" s="63"/>
      <c r="G183" s="63"/>
      <c r="H183" s="63"/>
      <c r="I183" s="63"/>
    </row>
    <row r="184" spans="6:9">
      <c r="F184" s="63"/>
      <c r="G184" s="63"/>
      <c r="H184" s="63"/>
      <c r="I184" s="63"/>
    </row>
    <row r="185" spans="6:9">
      <c r="F185" s="63"/>
      <c r="G185" s="63"/>
      <c r="H185" s="63"/>
      <c r="I185" s="63"/>
    </row>
    <row r="186" spans="6:9">
      <c r="F186" s="63"/>
      <c r="G186" s="63"/>
      <c r="H186" s="63"/>
      <c r="I186" s="63"/>
    </row>
    <row r="187" spans="6:9">
      <c r="F187" s="63"/>
      <c r="G187" s="63"/>
      <c r="H187" s="63"/>
      <c r="I187" s="63"/>
    </row>
    <row r="188" spans="6:9">
      <c r="F188" s="63"/>
      <c r="G188" s="63"/>
      <c r="H188" s="63"/>
      <c r="I188" s="63"/>
    </row>
    <row r="189" spans="6:9">
      <c r="F189" s="63"/>
      <c r="G189" s="63"/>
      <c r="H189" s="63"/>
      <c r="I189" s="63"/>
    </row>
    <row r="190" spans="6:9">
      <c r="F190" s="63"/>
      <c r="G190" s="63"/>
      <c r="H190" s="63"/>
      <c r="I190" s="63"/>
    </row>
    <row r="191" spans="6:9">
      <c r="F191" s="63"/>
      <c r="G191" s="63"/>
      <c r="H191" s="63"/>
      <c r="I191" s="63"/>
    </row>
    <row r="192" spans="6:9">
      <c r="F192" s="63"/>
      <c r="G192" s="63"/>
      <c r="H192" s="63"/>
      <c r="I192" s="63"/>
    </row>
    <row r="193" spans="6:9">
      <c r="F193" s="63"/>
      <c r="G193" s="63"/>
      <c r="H193" s="63"/>
      <c r="I193" s="63"/>
    </row>
    <row r="194" spans="6:9">
      <c r="F194" s="63"/>
      <c r="G194" s="63"/>
      <c r="H194" s="63"/>
      <c r="I194" s="63"/>
    </row>
    <row r="195" spans="6:9">
      <c r="F195" s="63"/>
      <c r="G195" s="63"/>
      <c r="H195" s="63"/>
      <c r="I195" s="63"/>
    </row>
    <row r="196" spans="6:9">
      <c r="F196" s="63"/>
      <c r="G196" s="63"/>
      <c r="H196" s="63"/>
      <c r="I196" s="63"/>
    </row>
    <row r="197" spans="6:9">
      <c r="F197" s="63"/>
      <c r="G197" s="63"/>
      <c r="H197" s="63"/>
      <c r="I197" s="63"/>
    </row>
    <row r="198" spans="6:9">
      <c r="F198" s="63"/>
      <c r="G198" s="63"/>
      <c r="H198" s="63"/>
      <c r="I198" s="63"/>
    </row>
    <row r="199" spans="6:9">
      <c r="F199" s="63"/>
      <c r="G199" s="63"/>
      <c r="H199" s="63"/>
      <c r="I199" s="63"/>
    </row>
    <row r="200" spans="6:9">
      <c r="F200" s="63"/>
      <c r="G200" s="63"/>
      <c r="H200" s="63"/>
      <c r="I200" s="63"/>
    </row>
    <row r="201" spans="6:9">
      <c r="F201" s="63"/>
      <c r="G201" s="63"/>
      <c r="H201" s="63"/>
      <c r="I201" s="63"/>
    </row>
    <row r="202" spans="6:9">
      <c r="F202" s="63"/>
      <c r="G202" s="63"/>
      <c r="H202" s="63"/>
      <c r="I202" s="63"/>
    </row>
    <row r="203" spans="6:9">
      <c r="F203" s="63"/>
      <c r="G203" s="63"/>
      <c r="H203" s="63"/>
      <c r="I203" s="63"/>
    </row>
    <row r="204" spans="6:9">
      <c r="F204" s="63"/>
      <c r="G204" s="63"/>
      <c r="H204" s="63"/>
      <c r="I204" s="63"/>
    </row>
    <row r="205" spans="6:9">
      <c r="F205" s="63"/>
      <c r="G205" s="63"/>
      <c r="H205" s="63"/>
      <c r="I205" s="63"/>
    </row>
    <row r="206" spans="6:9">
      <c r="F206" s="63"/>
      <c r="G206" s="63"/>
      <c r="H206" s="63"/>
      <c r="I206" s="63"/>
    </row>
    <row r="207" spans="6:9">
      <c r="F207" s="63"/>
      <c r="G207" s="63"/>
      <c r="H207" s="63"/>
      <c r="I207" s="63"/>
    </row>
    <row r="208" spans="6:9">
      <c r="F208" s="63"/>
      <c r="G208" s="63"/>
      <c r="H208" s="63"/>
      <c r="I208" s="63"/>
    </row>
    <row r="209" spans="6:9">
      <c r="F209" s="63"/>
      <c r="G209" s="63"/>
      <c r="H209" s="63"/>
      <c r="I209" s="63"/>
    </row>
    <row r="210" spans="6:9">
      <c r="F210" s="63"/>
      <c r="G210" s="63"/>
      <c r="H210" s="63"/>
      <c r="I210" s="63"/>
    </row>
    <row r="211" spans="6:9">
      <c r="F211" s="63"/>
      <c r="G211" s="63"/>
      <c r="H211" s="63"/>
      <c r="I211" s="63"/>
    </row>
    <row r="212" spans="6:9">
      <c r="F212" s="63"/>
      <c r="G212" s="63"/>
      <c r="H212" s="63"/>
      <c r="I212" s="63"/>
    </row>
    <row r="213" spans="6:9">
      <c r="F213" s="63"/>
      <c r="G213" s="63"/>
      <c r="H213" s="63"/>
      <c r="I213" s="63"/>
    </row>
    <row r="214" spans="6:9">
      <c r="F214" s="63"/>
      <c r="G214" s="63"/>
      <c r="H214" s="63"/>
      <c r="I214" s="63"/>
    </row>
    <row r="215" spans="6:9">
      <c r="F215" s="63"/>
      <c r="G215" s="63"/>
      <c r="H215" s="63"/>
      <c r="I215" s="63"/>
    </row>
    <row r="216" spans="6:9">
      <c r="F216" s="63"/>
      <c r="G216" s="63"/>
      <c r="H216" s="63"/>
      <c r="I216" s="63"/>
    </row>
    <row r="217" spans="6:9">
      <c r="F217" s="63"/>
      <c r="G217" s="63"/>
      <c r="H217" s="63"/>
      <c r="I217" s="63"/>
    </row>
    <row r="218" spans="6:9">
      <c r="F218" s="63"/>
      <c r="G218" s="63"/>
      <c r="H218" s="63"/>
      <c r="I218" s="63"/>
    </row>
    <row r="219" spans="6:9">
      <c r="F219" s="63"/>
      <c r="G219" s="63"/>
      <c r="H219" s="63"/>
      <c r="I219" s="63"/>
    </row>
    <row r="220" spans="6:9">
      <c r="F220" s="63"/>
      <c r="G220" s="63"/>
      <c r="H220" s="63"/>
      <c r="I220" s="63"/>
    </row>
    <row r="221" spans="6:9">
      <c r="F221" s="63"/>
      <c r="G221" s="63"/>
      <c r="H221" s="63"/>
      <c r="I221" s="63"/>
    </row>
    <row r="222" spans="6:9">
      <c r="F222" s="63"/>
      <c r="G222" s="63"/>
      <c r="H222" s="63"/>
      <c r="I222" s="63"/>
    </row>
    <row r="223" spans="6:9">
      <c r="F223" s="63"/>
      <c r="G223" s="63"/>
      <c r="H223" s="63"/>
      <c r="I223" s="63"/>
    </row>
    <row r="224" spans="6:9">
      <c r="F224" s="63"/>
      <c r="G224" s="63"/>
      <c r="H224" s="63"/>
      <c r="I224" s="63"/>
    </row>
    <row r="225" spans="6:9">
      <c r="F225" s="63"/>
      <c r="G225" s="63"/>
      <c r="H225" s="63"/>
      <c r="I225" s="63"/>
    </row>
    <row r="226" spans="6:9">
      <c r="F226" s="63"/>
      <c r="G226" s="63"/>
      <c r="H226" s="63"/>
      <c r="I226" s="63"/>
    </row>
    <row r="227" spans="6:9">
      <c r="F227" s="63"/>
      <c r="G227" s="63"/>
      <c r="H227" s="63"/>
      <c r="I227" s="63"/>
    </row>
    <row r="228" spans="6:9">
      <c r="F228" s="63"/>
      <c r="G228" s="63"/>
      <c r="H228" s="63"/>
      <c r="I228" s="63"/>
    </row>
    <row r="229" spans="6:9">
      <c r="F229" s="63"/>
      <c r="G229" s="63"/>
      <c r="H229" s="63"/>
      <c r="I229" s="63"/>
    </row>
    <row r="230" spans="6:9">
      <c r="F230" s="63"/>
      <c r="G230" s="63"/>
      <c r="H230" s="63"/>
      <c r="I230" s="63"/>
    </row>
    <row r="231" spans="6:9">
      <c r="F231" s="63"/>
      <c r="G231" s="63"/>
      <c r="H231" s="63"/>
      <c r="I231" s="63"/>
    </row>
    <row r="232" spans="6:9">
      <c r="F232" s="63"/>
      <c r="G232" s="63"/>
      <c r="H232" s="63"/>
      <c r="I232" s="63"/>
    </row>
    <row r="233" spans="6:9">
      <c r="F233" s="63"/>
      <c r="G233" s="63"/>
      <c r="H233" s="63"/>
      <c r="I233" s="63"/>
    </row>
    <row r="234" spans="6:9">
      <c r="F234" s="63"/>
      <c r="G234" s="63"/>
      <c r="H234" s="63"/>
      <c r="I234" s="63"/>
    </row>
    <row r="235" spans="6:9">
      <c r="F235" s="63"/>
      <c r="G235" s="63"/>
      <c r="H235" s="63"/>
      <c r="I235" s="63"/>
    </row>
    <row r="236" spans="6:9">
      <c r="F236" s="63"/>
      <c r="G236" s="63"/>
      <c r="H236" s="63"/>
      <c r="I236" s="63"/>
    </row>
    <row r="237" spans="6:9">
      <c r="F237" s="63"/>
      <c r="G237" s="63"/>
      <c r="H237" s="63"/>
      <c r="I237" s="63"/>
    </row>
    <row r="238" spans="6:9">
      <c r="F238" s="63"/>
      <c r="G238" s="63"/>
      <c r="H238" s="63"/>
      <c r="I238" s="63"/>
    </row>
    <row r="239" spans="6:9">
      <c r="F239" s="63"/>
      <c r="G239" s="63"/>
      <c r="H239" s="63"/>
      <c r="I239" s="63"/>
    </row>
    <row r="240" spans="6:9">
      <c r="F240" s="63"/>
      <c r="G240" s="63"/>
      <c r="H240" s="63"/>
      <c r="I240" s="63"/>
    </row>
    <row r="241" spans="6:9">
      <c r="F241" s="63"/>
      <c r="G241" s="63"/>
      <c r="H241" s="63"/>
      <c r="I241" s="63"/>
    </row>
    <row r="242" spans="6:9">
      <c r="F242" s="63"/>
      <c r="G242" s="63"/>
      <c r="H242" s="63"/>
      <c r="I242" s="63"/>
    </row>
    <row r="243" spans="6:9">
      <c r="F243" s="63"/>
      <c r="G243" s="63"/>
      <c r="H243" s="63"/>
      <c r="I243" s="63"/>
    </row>
    <row r="244" spans="6:9">
      <c r="F244" s="63"/>
      <c r="G244" s="63"/>
      <c r="H244" s="63"/>
      <c r="I244" s="63"/>
    </row>
    <row r="245" spans="6:9">
      <c r="F245" s="63"/>
      <c r="G245" s="63"/>
      <c r="H245" s="63"/>
      <c r="I245" s="63"/>
    </row>
    <row r="246" spans="6:9">
      <c r="F246" s="63"/>
      <c r="G246" s="63"/>
      <c r="H246" s="63"/>
      <c r="I246" s="63"/>
    </row>
    <row r="247" spans="6:9">
      <c r="F247" s="63"/>
      <c r="G247" s="63"/>
      <c r="H247" s="63"/>
      <c r="I247" s="63"/>
    </row>
    <row r="248" spans="6:9">
      <c r="F248" s="63"/>
      <c r="G248" s="63"/>
      <c r="H248" s="63"/>
      <c r="I248" s="63"/>
    </row>
    <row r="249" spans="6:9">
      <c r="F249" s="63"/>
      <c r="G249" s="63"/>
      <c r="H249" s="63"/>
      <c r="I249" s="63"/>
    </row>
    <row r="250" spans="6:9">
      <c r="F250" s="63"/>
      <c r="G250" s="63"/>
      <c r="H250" s="63"/>
      <c r="I250" s="63"/>
    </row>
    <row r="251" spans="6:9">
      <c r="F251" s="63"/>
      <c r="G251" s="63"/>
      <c r="H251" s="63"/>
      <c r="I251" s="63"/>
    </row>
    <row r="252" spans="6:9">
      <c r="F252" s="63"/>
      <c r="G252" s="63"/>
      <c r="H252" s="63"/>
      <c r="I252" s="63"/>
    </row>
    <row r="253" spans="6:9">
      <c r="F253" s="63"/>
      <c r="G253" s="63"/>
      <c r="H253" s="63"/>
      <c r="I253" s="63"/>
    </row>
    <row r="254" spans="6:9">
      <c r="F254" s="63"/>
      <c r="G254" s="63"/>
      <c r="H254" s="63"/>
      <c r="I254" s="63"/>
    </row>
    <row r="255" spans="6:9">
      <c r="F255" s="63"/>
      <c r="G255" s="63"/>
      <c r="H255" s="63"/>
      <c r="I255" s="63"/>
    </row>
    <row r="256" spans="6:9">
      <c r="F256" s="63"/>
      <c r="G256" s="63"/>
      <c r="H256" s="63"/>
      <c r="I256" s="63"/>
    </row>
    <row r="257" spans="6:9">
      <c r="F257" s="63"/>
      <c r="G257" s="63"/>
      <c r="H257" s="63"/>
      <c r="I257" s="63"/>
    </row>
    <row r="258" spans="6:9">
      <c r="F258" s="63"/>
      <c r="G258" s="63"/>
      <c r="H258" s="63"/>
      <c r="I258" s="63"/>
    </row>
    <row r="259" spans="6:9">
      <c r="F259" s="63"/>
      <c r="G259" s="63"/>
      <c r="H259" s="63"/>
      <c r="I259" s="63"/>
    </row>
    <row r="260" spans="6:9">
      <c r="F260" s="63"/>
      <c r="G260" s="63"/>
      <c r="H260" s="63"/>
      <c r="I260" s="63"/>
    </row>
    <row r="261" spans="6:9">
      <c r="F261" s="63"/>
      <c r="G261" s="63"/>
      <c r="H261" s="63"/>
      <c r="I261" s="63"/>
    </row>
    <row r="262" spans="6:9">
      <c r="F262" s="63"/>
      <c r="G262" s="63"/>
      <c r="H262" s="63"/>
      <c r="I262" s="63"/>
    </row>
    <row r="263" spans="6:9">
      <c r="F263" s="63"/>
      <c r="G263" s="63"/>
      <c r="H263" s="63"/>
      <c r="I263" s="63"/>
    </row>
    <row r="264" spans="6:9">
      <c r="F264" s="63"/>
      <c r="G264" s="63"/>
      <c r="H264" s="63"/>
      <c r="I264" s="63"/>
    </row>
    <row r="265" spans="6:9">
      <c r="F265" s="63"/>
      <c r="G265" s="63"/>
      <c r="H265" s="63"/>
      <c r="I265" s="63"/>
    </row>
    <row r="266" spans="6:9">
      <c r="F266" s="63"/>
      <c r="G266" s="63"/>
      <c r="H266" s="63"/>
      <c r="I266" s="63"/>
    </row>
    <row r="267" spans="6:9">
      <c r="F267" s="63"/>
      <c r="G267" s="63"/>
      <c r="H267" s="63"/>
      <c r="I267" s="63"/>
    </row>
    <row r="268" spans="6:9">
      <c r="F268" s="63"/>
      <c r="G268" s="63"/>
      <c r="H268" s="63"/>
      <c r="I268" s="63"/>
    </row>
    <row r="269" spans="6:9">
      <c r="F269" s="63"/>
      <c r="G269" s="63"/>
      <c r="H269" s="63"/>
      <c r="I269" s="63"/>
    </row>
    <row r="270" spans="6:9">
      <c r="F270" s="63"/>
      <c r="G270" s="63"/>
      <c r="H270" s="63"/>
      <c r="I270" s="63"/>
    </row>
    <row r="271" spans="6:9">
      <c r="F271" s="63"/>
      <c r="G271" s="63"/>
      <c r="H271" s="63"/>
      <c r="I271" s="63"/>
    </row>
    <row r="272" spans="6:9">
      <c r="F272" s="63"/>
      <c r="G272" s="63"/>
      <c r="H272" s="63"/>
      <c r="I272" s="63"/>
    </row>
    <row r="273" spans="6:9">
      <c r="F273" s="63"/>
      <c r="G273" s="63"/>
      <c r="H273" s="63"/>
      <c r="I273" s="63"/>
    </row>
    <row r="274" spans="6:9">
      <c r="F274" s="63"/>
      <c r="G274" s="63"/>
      <c r="H274" s="63"/>
      <c r="I274" s="63"/>
    </row>
    <row r="275" spans="6:9">
      <c r="F275" s="63"/>
      <c r="G275" s="63"/>
      <c r="H275" s="63"/>
      <c r="I275" s="63"/>
    </row>
    <row r="276" spans="6:9">
      <c r="F276" s="63"/>
      <c r="G276" s="63"/>
      <c r="H276" s="63"/>
      <c r="I276" s="63"/>
    </row>
    <row r="277" spans="6:9">
      <c r="F277" s="63"/>
      <c r="G277" s="63"/>
      <c r="H277" s="63"/>
      <c r="I277" s="63"/>
    </row>
    <row r="278" spans="6:9">
      <c r="F278" s="63"/>
      <c r="G278" s="63"/>
      <c r="H278" s="63"/>
      <c r="I278" s="63"/>
    </row>
    <row r="279" spans="6:9">
      <c r="F279" s="63"/>
      <c r="G279" s="63"/>
      <c r="H279" s="63"/>
      <c r="I279" s="63"/>
    </row>
    <row r="280" spans="6:9">
      <c r="F280" s="63"/>
      <c r="G280" s="63"/>
      <c r="H280" s="63"/>
      <c r="I280" s="63"/>
    </row>
    <row r="281" spans="6:9">
      <c r="F281" s="63"/>
      <c r="G281" s="63"/>
      <c r="H281" s="63"/>
      <c r="I281" s="63"/>
    </row>
    <row r="282" spans="6:9">
      <c r="F282" s="63"/>
      <c r="G282" s="63"/>
      <c r="H282" s="63"/>
      <c r="I282" s="63"/>
    </row>
    <row r="283" spans="6:9">
      <c r="F283" s="63"/>
      <c r="G283" s="63"/>
      <c r="H283" s="63"/>
      <c r="I283" s="63"/>
    </row>
    <row r="284" spans="6:9">
      <c r="F284" s="63"/>
      <c r="G284" s="63"/>
      <c r="H284" s="63"/>
      <c r="I284" s="63"/>
    </row>
    <row r="285" spans="6:9">
      <c r="F285" s="63"/>
      <c r="G285" s="63"/>
      <c r="H285" s="63"/>
      <c r="I285" s="63"/>
    </row>
    <row r="286" spans="6:9">
      <c r="F286" s="63"/>
      <c r="G286" s="63"/>
      <c r="H286" s="63"/>
      <c r="I286" s="63"/>
    </row>
    <row r="287" spans="6:9">
      <c r="F287" s="63"/>
      <c r="G287" s="63"/>
      <c r="H287" s="63"/>
      <c r="I287" s="63"/>
    </row>
    <row r="288" spans="6:9">
      <c r="F288" s="63"/>
      <c r="G288" s="63"/>
      <c r="H288" s="63"/>
      <c r="I288" s="63"/>
    </row>
    <row r="289" spans="6:9">
      <c r="F289" s="63"/>
      <c r="G289" s="63"/>
      <c r="H289" s="63"/>
      <c r="I289" s="63"/>
    </row>
    <row r="290" spans="6:9">
      <c r="F290" s="63"/>
      <c r="G290" s="63"/>
      <c r="H290" s="63"/>
      <c r="I290" s="63"/>
    </row>
    <row r="291" spans="6:9">
      <c r="F291" s="63"/>
      <c r="G291" s="63"/>
      <c r="H291" s="63"/>
      <c r="I291" s="63"/>
    </row>
    <row r="292" spans="6:9">
      <c r="F292" s="63"/>
      <c r="G292" s="63"/>
      <c r="H292" s="63"/>
      <c r="I292" s="63"/>
    </row>
    <row r="293" spans="6:9">
      <c r="F293" s="63"/>
      <c r="G293" s="63"/>
      <c r="H293" s="63"/>
      <c r="I293" s="63"/>
    </row>
    <row r="294" spans="6:9">
      <c r="F294" s="63"/>
      <c r="G294" s="63"/>
      <c r="H294" s="63"/>
      <c r="I294" s="63"/>
    </row>
    <row r="295" spans="6:9">
      <c r="F295" s="63"/>
      <c r="G295" s="63"/>
      <c r="H295" s="63"/>
      <c r="I295" s="63"/>
    </row>
    <row r="296" spans="6:9">
      <c r="F296" s="63"/>
      <c r="G296" s="63"/>
      <c r="H296" s="63"/>
      <c r="I296" s="63"/>
    </row>
    <row r="297" spans="6:9">
      <c r="F297" s="63"/>
      <c r="G297" s="63"/>
      <c r="H297" s="63"/>
      <c r="I297" s="63"/>
    </row>
    <row r="298" spans="6:9">
      <c r="F298" s="63"/>
      <c r="G298" s="63"/>
      <c r="H298" s="63"/>
      <c r="I298" s="63"/>
    </row>
    <row r="299" spans="6:9">
      <c r="F299" s="63"/>
      <c r="G299" s="63"/>
      <c r="H299" s="63"/>
      <c r="I299" s="63"/>
    </row>
    <row r="300" spans="6:9">
      <c r="F300" s="63"/>
      <c r="G300" s="63"/>
      <c r="H300" s="63"/>
      <c r="I300" s="63"/>
    </row>
    <row r="301" spans="6:9">
      <c r="F301" s="63"/>
      <c r="G301" s="63"/>
      <c r="H301" s="63"/>
      <c r="I301" s="63"/>
    </row>
    <row r="302" spans="6:9">
      <c r="F302" s="63"/>
      <c r="G302" s="63"/>
      <c r="H302" s="63"/>
      <c r="I302" s="63"/>
    </row>
    <row r="303" spans="6:9">
      <c r="F303" s="63"/>
      <c r="G303" s="63"/>
      <c r="H303" s="63"/>
      <c r="I303" s="63"/>
    </row>
    <row r="304" spans="6:9">
      <c r="F304" s="63"/>
      <c r="G304" s="63"/>
      <c r="H304" s="63"/>
      <c r="I304" s="63"/>
    </row>
    <row r="305" spans="6:9">
      <c r="F305" s="63"/>
      <c r="G305" s="63"/>
      <c r="H305" s="63"/>
      <c r="I305" s="63"/>
    </row>
    <row r="306" spans="6:9">
      <c r="F306" s="63"/>
      <c r="G306" s="63"/>
      <c r="H306" s="63"/>
      <c r="I306" s="63"/>
    </row>
    <row r="307" spans="6:9">
      <c r="F307" s="63"/>
      <c r="G307" s="63"/>
      <c r="H307" s="63"/>
      <c r="I307" s="63"/>
    </row>
    <row r="308" spans="6:9">
      <c r="F308" s="63"/>
      <c r="G308" s="63"/>
      <c r="H308" s="63"/>
      <c r="I308" s="63"/>
    </row>
    <row r="309" spans="6:9">
      <c r="F309" s="63"/>
      <c r="G309" s="63"/>
      <c r="H309" s="63"/>
      <c r="I309" s="63"/>
    </row>
    <row r="310" spans="6:9">
      <c r="F310" s="63"/>
      <c r="G310" s="63"/>
      <c r="H310" s="63"/>
      <c r="I310" s="63"/>
    </row>
    <row r="311" spans="6:9">
      <c r="F311" s="63"/>
      <c r="G311" s="63"/>
      <c r="H311" s="63"/>
      <c r="I311" s="63"/>
    </row>
    <row r="312" spans="6:9">
      <c r="F312" s="63"/>
      <c r="G312" s="63"/>
      <c r="H312" s="63"/>
      <c r="I312" s="63"/>
    </row>
    <row r="313" spans="6:9">
      <c r="F313" s="63"/>
      <c r="G313" s="63"/>
      <c r="H313" s="63"/>
      <c r="I313" s="63"/>
    </row>
    <row r="314" spans="6:9">
      <c r="F314" s="63"/>
      <c r="G314" s="63"/>
      <c r="H314" s="63"/>
      <c r="I314" s="63"/>
    </row>
    <row r="315" spans="6:9">
      <c r="F315" s="63"/>
      <c r="G315" s="63"/>
      <c r="H315" s="63"/>
      <c r="I315" s="63"/>
    </row>
    <row r="316" spans="6:9">
      <c r="F316" s="63"/>
      <c r="G316" s="63"/>
      <c r="H316" s="63"/>
      <c r="I316" s="63"/>
    </row>
    <row r="317" spans="6:9">
      <c r="F317" s="63"/>
      <c r="G317" s="63"/>
      <c r="H317" s="63"/>
      <c r="I317" s="63"/>
    </row>
    <row r="318" spans="6:9">
      <c r="F318" s="63"/>
      <c r="G318" s="63"/>
      <c r="H318" s="63"/>
      <c r="I318" s="63"/>
    </row>
    <row r="319" spans="6:9">
      <c r="F319" s="63"/>
      <c r="G319" s="63"/>
      <c r="H319" s="63"/>
      <c r="I319" s="63"/>
    </row>
    <row r="320" spans="6:9">
      <c r="F320" s="63"/>
      <c r="G320" s="63"/>
      <c r="H320" s="63"/>
      <c r="I320" s="63"/>
    </row>
    <row r="321" spans="6:9">
      <c r="F321" s="63"/>
      <c r="G321" s="63"/>
      <c r="H321" s="63"/>
      <c r="I321" s="63"/>
    </row>
    <row r="322" spans="6:9">
      <c r="F322" s="63"/>
      <c r="G322" s="63"/>
      <c r="H322" s="63"/>
      <c r="I322" s="63"/>
    </row>
    <row r="323" spans="6:9">
      <c r="F323" s="63"/>
      <c r="G323" s="63"/>
      <c r="H323" s="63"/>
      <c r="I323" s="63"/>
    </row>
    <row r="324" spans="6:9">
      <c r="F324" s="63"/>
      <c r="G324" s="63"/>
      <c r="H324" s="63"/>
      <c r="I324" s="63"/>
    </row>
    <row r="325" spans="6:9">
      <c r="F325" s="63"/>
      <c r="G325" s="63"/>
      <c r="H325" s="63"/>
      <c r="I325" s="63"/>
    </row>
    <row r="326" spans="6:9">
      <c r="F326" s="63"/>
      <c r="G326" s="63"/>
      <c r="H326" s="63"/>
      <c r="I326" s="63"/>
    </row>
    <row r="327" spans="6:9">
      <c r="F327" s="63"/>
      <c r="G327" s="63"/>
      <c r="H327" s="63"/>
      <c r="I327" s="63"/>
    </row>
    <row r="328" spans="6:9">
      <c r="F328" s="63"/>
      <c r="G328" s="63"/>
      <c r="H328" s="63"/>
      <c r="I328" s="63"/>
    </row>
    <row r="329" spans="6:9">
      <c r="F329" s="63"/>
      <c r="G329" s="63"/>
      <c r="H329" s="63"/>
      <c r="I329" s="63"/>
    </row>
    <row r="330" spans="6:9">
      <c r="F330" s="63"/>
      <c r="G330" s="63"/>
      <c r="H330" s="63"/>
      <c r="I330" s="63"/>
    </row>
    <row r="331" spans="6:9">
      <c r="F331" s="63"/>
      <c r="G331" s="63"/>
      <c r="H331" s="63"/>
      <c r="I331" s="63"/>
    </row>
    <row r="332" spans="6:9">
      <c r="F332" s="63"/>
      <c r="G332" s="63"/>
      <c r="H332" s="63"/>
      <c r="I332" s="63"/>
    </row>
    <row r="333" spans="6:9">
      <c r="F333" s="63"/>
      <c r="G333" s="63"/>
      <c r="H333" s="63"/>
      <c r="I333" s="63"/>
    </row>
    <row r="334" spans="6:9">
      <c r="F334" s="63"/>
      <c r="G334" s="63"/>
      <c r="H334" s="63"/>
      <c r="I334" s="63"/>
    </row>
    <row r="335" spans="6:9">
      <c r="F335" s="63"/>
      <c r="G335" s="63"/>
      <c r="H335" s="63"/>
      <c r="I335" s="63"/>
    </row>
    <row r="336" spans="6:9">
      <c r="F336" s="63"/>
      <c r="G336" s="63"/>
      <c r="H336" s="63"/>
      <c r="I336" s="63"/>
    </row>
    <row r="337" spans="6:9">
      <c r="F337" s="63"/>
      <c r="G337" s="63"/>
      <c r="H337" s="63"/>
      <c r="I337" s="63"/>
    </row>
    <row r="338" spans="6:9">
      <c r="F338" s="63"/>
      <c r="G338" s="63"/>
      <c r="H338" s="63"/>
      <c r="I338" s="63"/>
    </row>
    <row r="339" spans="6:9">
      <c r="F339" s="63"/>
      <c r="G339" s="63"/>
      <c r="H339" s="63"/>
      <c r="I339" s="63"/>
    </row>
    <row r="340" spans="6:9">
      <c r="F340" s="63"/>
      <c r="G340" s="63"/>
      <c r="H340" s="63"/>
      <c r="I340" s="63"/>
    </row>
    <row r="341" spans="6:9">
      <c r="F341" s="63"/>
      <c r="G341" s="63"/>
      <c r="H341" s="63"/>
      <c r="I341" s="63"/>
    </row>
    <row r="342" spans="6:9">
      <c r="F342" s="63"/>
      <c r="G342" s="63"/>
      <c r="H342" s="63"/>
      <c r="I342" s="63"/>
    </row>
    <row r="343" spans="6:9">
      <c r="F343" s="63"/>
      <c r="G343" s="63"/>
      <c r="H343" s="63"/>
      <c r="I343" s="63"/>
    </row>
    <row r="344" spans="6:9">
      <c r="F344" s="63"/>
      <c r="G344" s="63"/>
      <c r="H344" s="63"/>
      <c r="I344" s="63"/>
    </row>
    <row r="345" spans="6:9">
      <c r="F345" s="63"/>
      <c r="G345" s="63"/>
      <c r="H345" s="63"/>
      <c r="I345" s="63"/>
    </row>
    <row r="346" spans="6:9">
      <c r="F346" s="63"/>
      <c r="G346" s="63"/>
      <c r="H346" s="63"/>
      <c r="I346" s="63"/>
    </row>
    <row r="347" spans="6:9">
      <c r="F347" s="63"/>
      <c r="G347" s="63"/>
      <c r="H347" s="63"/>
      <c r="I347" s="63"/>
    </row>
    <row r="348" spans="6:9">
      <c r="F348" s="63"/>
      <c r="G348" s="63"/>
      <c r="H348" s="63"/>
      <c r="I348" s="63"/>
    </row>
    <row r="349" spans="6:9">
      <c r="F349" s="63"/>
      <c r="G349" s="63"/>
      <c r="H349" s="63"/>
      <c r="I349" s="63"/>
    </row>
    <row r="350" spans="6:9">
      <c r="F350" s="63"/>
      <c r="G350" s="63"/>
      <c r="H350" s="63"/>
      <c r="I350" s="63"/>
    </row>
    <row r="351" spans="6:9">
      <c r="F351" s="63"/>
      <c r="G351" s="63"/>
      <c r="H351" s="63"/>
      <c r="I351" s="63"/>
    </row>
    <row r="352" spans="6:9">
      <c r="F352" s="63"/>
      <c r="G352" s="63"/>
      <c r="H352" s="63"/>
      <c r="I352" s="63"/>
    </row>
    <row r="353" spans="6:9">
      <c r="F353" s="63"/>
      <c r="G353" s="63"/>
      <c r="H353" s="63"/>
      <c r="I353" s="63"/>
    </row>
    <row r="354" spans="6:9">
      <c r="F354" s="63"/>
      <c r="G354" s="63"/>
      <c r="H354" s="63"/>
      <c r="I354" s="63"/>
    </row>
    <row r="355" spans="6:9">
      <c r="F355" s="63"/>
      <c r="G355" s="63"/>
      <c r="H355" s="63"/>
      <c r="I355" s="63"/>
    </row>
    <row r="356" spans="6:9">
      <c r="F356" s="63"/>
      <c r="G356" s="63"/>
      <c r="H356" s="63"/>
      <c r="I356" s="63"/>
    </row>
    <row r="357" spans="6:9">
      <c r="F357" s="63"/>
      <c r="G357" s="63"/>
      <c r="H357" s="63"/>
      <c r="I357" s="63"/>
    </row>
    <row r="358" spans="6:9">
      <c r="F358" s="63"/>
      <c r="G358" s="63"/>
      <c r="H358" s="63"/>
      <c r="I358" s="63"/>
    </row>
    <row r="359" spans="6:9">
      <c r="F359" s="63"/>
      <c r="G359" s="63"/>
      <c r="H359" s="63"/>
      <c r="I359" s="63"/>
    </row>
    <row r="360" spans="6:9">
      <c r="F360" s="63"/>
      <c r="G360" s="63"/>
      <c r="H360" s="63"/>
      <c r="I360" s="63"/>
    </row>
    <row r="361" spans="6:9">
      <c r="F361" s="63"/>
      <c r="G361" s="63"/>
      <c r="H361" s="63"/>
      <c r="I361" s="63"/>
    </row>
    <row r="362" spans="6:9">
      <c r="F362" s="63"/>
      <c r="G362" s="63"/>
      <c r="H362" s="63"/>
      <c r="I362" s="63"/>
    </row>
    <row r="363" spans="6:9">
      <c r="F363" s="63"/>
      <c r="G363" s="63"/>
      <c r="H363" s="63"/>
      <c r="I363" s="63"/>
    </row>
    <row r="364" spans="6:9">
      <c r="F364" s="63"/>
      <c r="G364" s="63"/>
      <c r="H364" s="63"/>
      <c r="I364" s="63"/>
    </row>
    <row r="365" spans="6:9">
      <c r="F365" s="63"/>
      <c r="G365" s="63"/>
      <c r="H365" s="63"/>
      <c r="I365" s="63"/>
    </row>
    <row r="366" spans="6:9">
      <c r="F366" s="63"/>
      <c r="G366" s="63"/>
      <c r="H366" s="63"/>
      <c r="I366" s="63"/>
    </row>
    <row r="367" spans="6:9">
      <c r="F367" s="63"/>
      <c r="G367" s="63"/>
      <c r="H367" s="63"/>
      <c r="I367" s="63"/>
    </row>
    <row r="368" spans="6:9">
      <c r="F368" s="63"/>
      <c r="G368" s="63"/>
      <c r="H368" s="63"/>
      <c r="I368" s="63"/>
    </row>
    <row r="369" spans="6:9">
      <c r="F369" s="63"/>
      <c r="G369" s="63"/>
      <c r="H369" s="63"/>
      <c r="I369" s="63"/>
    </row>
    <row r="370" spans="6:9">
      <c r="F370" s="63"/>
      <c r="G370" s="63"/>
      <c r="H370" s="63"/>
      <c r="I370" s="63"/>
    </row>
    <row r="371" spans="6:9">
      <c r="F371" s="63"/>
      <c r="G371" s="63"/>
      <c r="H371" s="63"/>
      <c r="I371" s="63"/>
    </row>
    <row r="372" spans="6:9">
      <c r="F372" s="63"/>
      <c r="G372" s="63"/>
      <c r="H372" s="63"/>
      <c r="I372" s="63"/>
    </row>
    <row r="373" spans="6:9">
      <c r="F373" s="63"/>
      <c r="G373" s="63"/>
      <c r="H373" s="63"/>
      <c r="I373" s="63"/>
    </row>
    <row r="374" spans="6:9">
      <c r="F374" s="63"/>
      <c r="G374" s="63"/>
      <c r="H374" s="63"/>
      <c r="I374" s="63"/>
    </row>
    <row r="375" spans="6:9">
      <c r="F375" s="63"/>
      <c r="G375" s="63"/>
      <c r="H375" s="63"/>
      <c r="I375" s="63"/>
    </row>
    <row r="376" spans="6:9">
      <c r="F376" s="63"/>
      <c r="G376" s="63"/>
      <c r="H376" s="63"/>
      <c r="I376" s="63"/>
    </row>
    <row r="377" spans="6:9">
      <c r="F377" s="63"/>
      <c r="G377" s="63"/>
      <c r="H377" s="63"/>
      <c r="I377" s="63"/>
    </row>
    <row r="378" spans="6:9">
      <c r="F378" s="63"/>
      <c r="G378" s="63"/>
      <c r="H378" s="63"/>
      <c r="I378" s="63"/>
    </row>
    <row r="379" spans="6:9">
      <c r="F379" s="63"/>
      <c r="G379" s="63"/>
      <c r="H379" s="63"/>
      <c r="I379" s="63"/>
    </row>
    <row r="380" spans="6:9">
      <c r="F380" s="63"/>
      <c r="G380" s="63"/>
      <c r="H380" s="63"/>
      <c r="I380" s="63"/>
    </row>
    <row r="381" spans="6:9">
      <c r="F381" s="63"/>
      <c r="G381" s="63"/>
      <c r="H381" s="63"/>
      <c r="I381" s="63"/>
    </row>
    <row r="382" spans="6:9">
      <c r="F382" s="63"/>
      <c r="G382" s="63"/>
      <c r="H382" s="63"/>
      <c r="I382" s="63"/>
    </row>
    <row r="383" spans="6:9">
      <c r="F383" s="63"/>
      <c r="G383" s="63"/>
      <c r="H383" s="63"/>
      <c r="I383" s="63"/>
    </row>
    <row r="384" spans="6:9">
      <c r="F384" s="63"/>
      <c r="G384" s="63"/>
      <c r="H384" s="63"/>
      <c r="I384" s="63"/>
    </row>
    <row r="385" spans="6:9">
      <c r="F385" s="63"/>
      <c r="G385" s="63"/>
      <c r="H385" s="63"/>
      <c r="I385" s="63"/>
    </row>
    <row r="386" spans="6:9">
      <c r="F386" s="63"/>
      <c r="G386" s="63"/>
      <c r="H386" s="63"/>
      <c r="I386" s="63"/>
    </row>
    <row r="387" spans="6:9">
      <c r="F387" s="63"/>
      <c r="G387" s="63"/>
      <c r="H387" s="63"/>
      <c r="I387" s="63"/>
    </row>
    <row r="388" spans="6:9">
      <c r="F388" s="63"/>
      <c r="G388" s="63"/>
      <c r="H388" s="63"/>
      <c r="I388" s="63"/>
    </row>
    <row r="389" spans="6:9">
      <c r="F389" s="63"/>
      <c r="G389" s="63"/>
      <c r="H389" s="63"/>
      <c r="I389" s="63"/>
    </row>
    <row r="390" spans="6:9">
      <c r="F390" s="63"/>
      <c r="G390" s="63"/>
      <c r="H390" s="63"/>
      <c r="I390" s="63"/>
    </row>
    <row r="391" spans="6:9">
      <c r="F391" s="63"/>
      <c r="G391" s="63"/>
      <c r="H391" s="63"/>
      <c r="I391" s="63"/>
    </row>
    <row r="392" spans="6:9">
      <c r="F392" s="63"/>
      <c r="G392" s="63"/>
      <c r="H392" s="63"/>
      <c r="I392" s="63"/>
    </row>
    <row r="393" spans="6:9">
      <c r="F393" s="63"/>
      <c r="G393" s="63"/>
      <c r="H393" s="63"/>
      <c r="I393" s="63"/>
    </row>
    <row r="394" spans="6:9">
      <c r="F394" s="63"/>
      <c r="G394" s="63"/>
      <c r="H394" s="63"/>
      <c r="I394" s="63"/>
    </row>
    <row r="395" spans="6:9">
      <c r="F395" s="63"/>
      <c r="G395" s="63"/>
      <c r="H395" s="63"/>
      <c r="I395" s="63"/>
    </row>
    <row r="396" spans="6:9">
      <c r="F396" s="63"/>
      <c r="G396" s="63"/>
      <c r="H396" s="63"/>
      <c r="I396" s="63"/>
    </row>
    <row r="397" spans="6:9">
      <c r="F397" s="63"/>
      <c r="G397" s="63"/>
      <c r="H397" s="63"/>
      <c r="I397" s="63"/>
    </row>
    <row r="398" spans="6:9">
      <c r="F398" s="63"/>
      <c r="G398" s="63"/>
      <c r="H398" s="63"/>
      <c r="I398" s="63"/>
    </row>
    <row r="399" spans="6:9">
      <c r="F399" s="63"/>
      <c r="G399" s="63"/>
      <c r="H399" s="63"/>
      <c r="I399" s="63"/>
    </row>
    <row r="400" spans="6:9">
      <c r="F400" s="63"/>
      <c r="G400" s="63"/>
      <c r="H400" s="63"/>
      <c r="I400" s="63"/>
    </row>
    <row r="401" spans="6:9">
      <c r="F401" s="63"/>
      <c r="G401" s="63"/>
      <c r="H401" s="63"/>
      <c r="I401" s="63"/>
    </row>
    <row r="402" spans="6:9">
      <c r="F402" s="63"/>
      <c r="G402" s="63"/>
      <c r="H402" s="63"/>
      <c r="I402" s="63"/>
    </row>
    <row r="403" spans="6:9">
      <c r="F403" s="63"/>
      <c r="G403" s="63"/>
      <c r="H403" s="63"/>
      <c r="I403" s="63"/>
    </row>
    <row r="404" spans="6:9">
      <c r="F404" s="63"/>
      <c r="G404" s="63"/>
      <c r="H404" s="63"/>
      <c r="I404" s="63"/>
    </row>
    <row r="405" spans="6:9">
      <c r="F405" s="63"/>
      <c r="G405" s="63"/>
      <c r="H405" s="63"/>
      <c r="I405" s="63"/>
    </row>
    <row r="406" spans="6:9">
      <c r="F406" s="63"/>
      <c r="G406" s="63"/>
      <c r="H406" s="63"/>
      <c r="I406" s="63"/>
    </row>
    <row r="407" spans="6:9">
      <c r="F407" s="63"/>
      <c r="G407" s="63"/>
      <c r="H407" s="63"/>
      <c r="I407" s="63"/>
    </row>
    <row r="408" spans="6:9">
      <c r="F408" s="63"/>
      <c r="G408" s="63"/>
      <c r="H408" s="63"/>
      <c r="I408" s="63"/>
    </row>
    <row r="409" spans="6:9">
      <c r="F409" s="63"/>
      <c r="G409" s="63"/>
      <c r="H409" s="63"/>
      <c r="I409" s="63"/>
    </row>
    <row r="410" spans="6:9">
      <c r="F410" s="63"/>
      <c r="G410" s="63"/>
      <c r="H410" s="63"/>
      <c r="I410" s="63"/>
    </row>
    <row r="411" spans="6:9">
      <c r="F411" s="63"/>
      <c r="G411" s="63"/>
      <c r="H411" s="63"/>
      <c r="I411" s="63"/>
    </row>
    <row r="412" spans="6:9">
      <c r="F412" s="63"/>
      <c r="G412" s="63"/>
      <c r="H412" s="63"/>
      <c r="I412" s="63"/>
    </row>
    <row r="413" spans="6:9">
      <c r="F413" s="63"/>
      <c r="G413" s="63"/>
      <c r="H413" s="63"/>
      <c r="I413" s="63"/>
    </row>
    <row r="414" spans="6:9">
      <c r="F414" s="63"/>
      <c r="G414" s="63"/>
      <c r="H414" s="63"/>
      <c r="I414" s="63"/>
    </row>
    <row r="415" spans="6:9">
      <c r="F415" s="63"/>
      <c r="G415" s="63"/>
      <c r="H415" s="63"/>
      <c r="I415" s="63"/>
    </row>
    <row r="416" spans="6:9">
      <c r="F416" s="63"/>
      <c r="G416" s="63"/>
      <c r="H416" s="63"/>
      <c r="I416" s="63"/>
    </row>
    <row r="417" spans="6:9">
      <c r="F417" s="63"/>
      <c r="G417" s="63"/>
      <c r="H417" s="63"/>
      <c r="I417" s="63"/>
    </row>
    <row r="418" spans="6:9">
      <c r="F418" s="63"/>
      <c r="G418" s="63"/>
      <c r="H418" s="63"/>
      <c r="I418" s="63"/>
    </row>
    <row r="419" spans="6:9">
      <c r="F419" s="63"/>
      <c r="G419" s="63"/>
      <c r="H419" s="63"/>
      <c r="I419" s="63"/>
    </row>
    <row r="420" spans="6:9">
      <c r="F420" s="63"/>
      <c r="G420" s="63"/>
      <c r="H420" s="63"/>
      <c r="I420" s="63"/>
    </row>
    <row r="421" spans="6:9">
      <c r="F421" s="63"/>
      <c r="G421" s="63"/>
      <c r="H421" s="63"/>
      <c r="I421" s="63"/>
    </row>
    <row r="422" spans="6:9">
      <c r="F422" s="63"/>
      <c r="G422" s="63"/>
      <c r="H422" s="63"/>
      <c r="I422" s="63"/>
    </row>
    <row r="423" spans="6:9">
      <c r="F423" s="63"/>
      <c r="G423" s="63"/>
      <c r="H423" s="63"/>
      <c r="I423" s="63"/>
    </row>
    <row r="424" spans="6:9">
      <c r="F424" s="63"/>
      <c r="G424" s="63"/>
      <c r="H424" s="63"/>
      <c r="I424" s="63"/>
    </row>
    <row r="425" spans="6:9">
      <c r="F425" s="63"/>
      <c r="G425" s="63"/>
      <c r="H425" s="63"/>
      <c r="I425" s="63"/>
    </row>
    <row r="426" spans="6:9">
      <c r="F426" s="63"/>
      <c r="G426" s="63"/>
      <c r="H426" s="63"/>
      <c r="I426" s="63"/>
    </row>
    <row r="427" spans="6:9">
      <c r="F427" s="63"/>
      <c r="G427" s="63"/>
      <c r="H427" s="63"/>
      <c r="I427" s="63"/>
    </row>
    <row r="428" spans="6:9">
      <c r="F428" s="63"/>
      <c r="G428" s="63"/>
      <c r="H428" s="63"/>
      <c r="I428" s="63"/>
    </row>
    <row r="429" spans="6:9">
      <c r="F429" s="63"/>
      <c r="G429" s="63"/>
      <c r="H429" s="63"/>
      <c r="I429" s="63"/>
    </row>
    <row r="430" spans="6:9">
      <c r="F430" s="63"/>
      <c r="G430" s="63"/>
      <c r="H430" s="63"/>
      <c r="I430" s="63"/>
    </row>
    <row r="431" spans="6:9">
      <c r="F431" s="63"/>
      <c r="G431" s="63"/>
      <c r="H431" s="63"/>
      <c r="I431" s="63"/>
    </row>
    <row r="432" spans="6:9">
      <c r="F432" s="63"/>
      <c r="G432" s="63"/>
      <c r="H432" s="63"/>
      <c r="I432" s="63"/>
    </row>
    <row r="433" spans="6:9">
      <c r="F433" s="63"/>
      <c r="G433" s="63"/>
      <c r="H433" s="63"/>
      <c r="I433" s="63"/>
    </row>
    <row r="434" spans="6:9">
      <c r="F434" s="63"/>
      <c r="G434" s="63"/>
      <c r="H434" s="63"/>
      <c r="I434" s="63"/>
    </row>
    <row r="435" spans="6:9">
      <c r="F435" s="63"/>
      <c r="G435" s="63"/>
      <c r="H435" s="63"/>
      <c r="I435" s="63"/>
    </row>
    <row r="436" spans="6:9">
      <c r="F436" s="63"/>
      <c r="G436" s="63"/>
      <c r="H436" s="63"/>
      <c r="I436" s="63"/>
    </row>
    <row r="437" spans="6:9">
      <c r="F437" s="63"/>
      <c r="G437" s="63"/>
      <c r="H437" s="63"/>
      <c r="I437" s="63"/>
    </row>
    <row r="438" spans="6:9">
      <c r="F438" s="63"/>
      <c r="G438" s="63"/>
      <c r="H438" s="63"/>
      <c r="I438" s="63"/>
    </row>
    <row r="439" spans="6:9">
      <c r="F439" s="63"/>
      <c r="G439" s="63"/>
      <c r="H439" s="63"/>
      <c r="I439" s="63"/>
    </row>
    <row r="440" spans="6:9">
      <c r="F440" s="63"/>
      <c r="G440" s="63"/>
      <c r="H440" s="63"/>
      <c r="I440" s="63"/>
    </row>
    <row r="441" spans="6:9">
      <c r="F441" s="63"/>
      <c r="G441" s="63"/>
      <c r="H441" s="63"/>
      <c r="I441" s="63"/>
    </row>
    <row r="442" spans="6:9">
      <c r="F442" s="63"/>
      <c r="G442" s="63"/>
      <c r="H442" s="63"/>
      <c r="I442" s="63"/>
    </row>
    <row r="443" spans="6:9">
      <c r="F443" s="63"/>
      <c r="G443" s="63"/>
      <c r="H443" s="63"/>
      <c r="I443" s="63"/>
    </row>
    <row r="444" spans="6:9">
      <c r="F444" s="63"/>
      <c r="G444" s="63"/>
      <c r="H444" s="63"/>
      <c r="I444" s="63"/>
    </row>
    <row r="445" spans="6:9">
      <c r="F445" s="63"/>
      <c r="G445" s="63"/>
      <c r="H445" s="63"/>
      <c r="I445" s="63"/>
    </row>
    <row r="446" spans="6:9">
      <c r="F446" s="63"/>
      <c r="G446" s="63"/>
      <c r="H446" s="63"/>
      <c r="I446" s="63"/>
    </row>
    <row r="447" spans="6:9">
      <c r="F447" s="63"/>
      <c r="G447" s="63"/>
      <c r="H447" s="63"/>
      <c r="I447" s="63"/>
    </row>
    <row r="448" spans="6:9">
      <c r="F448" s="63"/>
      <c r="G448" s="63"/>
      <c r="H448" s="63"/>
      <c r="I448" s="63"/>
    </row>
    <row r="449" spans="6:9">
      <c r="F449" s="63"/>
      <c r="G449" s="63"/>
      <c r="H449" s="63"/>
      <c r="I449" s="63"/>
    </row>
    <row r="450" spans="6:9">
      <c r="F450" s="63"/>
      <c r="G450" s="63"/>
      <c r="H450" s="63"/>
      <c r="I450" s="63"/>
    </row>
    <row r="451" spans="6:9">
      <c r="F451" s="63"/>
      <c r="G451" s="63"/>
      <c r="H451" s="63"/>
      <c r="I451" s="63"/>
    </row>
    <row r="452" spans="6:9">
      <c r="F452" s="63"/>
      <c r="G452" s="63"/>
      <c r="H452" s="63"/>
      <c r="I452" s="63"/>
    </row>
    <row r="453" spans="6:9">
      <c r="F453" s="63"/>
      <c r="G453" s="63"/>
      <c r="H453" s="63"/>
      <c r="I453" s="63"/>
    </row>
    <row r="454" spans="6:9">
      <c r="F454" s="63"/>
      <c r="G454" s="63"/>
      <c r="H454" s="63"/>
      <c r="I454" s="63"/>
    </row>
    <row r="455" spans="6:9">
      <c r="F455" s="63"/>
      <c r="G455" s="63"/>
      <c r="H455" s="63"/>
      <c r="I455" s="63"/>
    </row>
    <row r="456" spans="6:9">
      <c r="F456" s="63"/>
      <c r="G456" s="63"/>
      <c r="H456" s="63"/>
      <c r="I456" s="63"/>
    </row>
    <row r="457" spans="6:9">
      <c r="F457" s="63"/>
      <c r="G457" s="63"/>
      <c r="H457" s="63"/>
      <c r="I457" s="63"/>
    </row>
    <row r="458" spans="6:9">
      <c r="F458" s="63"/>
      <c r="G458" s="63"/>
      <c r="H458" s="63"/>
      <c r="I458" s="63"/>
    </row>
    <row r="459" spans="6:9">
      <c r="F459" s="63"/>
      <c r="G459" s="63"/>
      <c r="H459" s="63"/>
      <c r="I459" s="63"/>
    </row>
    <row r="460" spans="6:9">
      <c r="F460" s="63"/>
      <c r="G460" s="63"/>
      <c r="H460" s="63"/>
      <c r="I460" s="63"/>
    </row>
    <row r="461" spans="6:9">
      <c r="F461" s="63"/>
      <c r="G461" s="63"/>
      <c r="H461" s="63"/>
      <c r="I461" s="63"/>
    </row>
    <row r="462" spans="6:9">
      <c r="F462" s="63"/>
      <c r="G462" s="63"/>
      <c r="H462" s="63"/>
      <c r="I462" s="63"/>
    </row>
    <row r="463" spans="6:9">
      <c r="F463" s="63"/>
      <c r="G463" s="63"/>
      <c r="H463" s="63"/>
      <c r="I463" s="63"/>
    </row>
    <row r="464" spans="6:9">
      <c r="F464" s="63"/>
      <c r="G464" s="63"/>
      <c r="H464" s="63"/>
      <c r="I464" s="63"/>
    </row>
    <row r="465" spans="6:9">
      <c r="F465" s="63"/>
      <c r="G465" s="63"/>
      <c r="H465" s="63"/>
      <c r="I465" s="63"/>
    </row>
    <row r="466" spans="6:9">
      <c r="F466" s="63"/>
      <c r="G466" s="63"/>
      <c r="H466" s="63"/>
      <c r="I466" s="63"/>
    </row>
    <row r="467" spans="6:9">
      <c r="F467" s="63"/>
      <c r="G467" s="63"/>
      <c r="H467" s="63"/>
      <c r="I467" s="63"/>
    </row>
    <row r="468" spans="6:9">
      <c r="F468" s="63"/>
      <c r="G468" s="63"/>
      <c r="H468" s="63"/>
      <c r="I468" s="63"/>
    </row>
    <row r="469" spans="6:9">
      <c r="F469" s="63"/>
      <c r="G469" s="63"/>
      <c r="H469" s="63"/>
      <c r="I469" s="63"/>
    </row>
    <row r="470" spans="6:9">
      <c r="F470" s="63"/>
      <c r="G470" s="63"/>
      <c r="H470" s="63"/>
      <c r="I470" s="63"/>
    </row>
    <row r="471" spans="6:9">
      <c r="F471" s="63"/>
      <c r="G471" s="63"/>
      <c r="H471" s="63"/>
      <c r="I471" s="63"/>
    </row>
    <row r="472" spans="6:9">
      <c r="F472" s="63"/>
      <c r="G472" s="63"/>
      <c r="H472" s="63"/>
      <c r="I472" s="63"/>
    </row>
    <row r="473" spans="6:9">
      <c r="F473" s="63"/>
      <c r="G473" s="63"/>
      <c r="H473" s="63"/>
      <c r="I473" s="63"/>
    </row>
    <row r="474" spans="6:9">
      <c r="F474" s="63"/>
      <c r="G474" s="63"/>
      <c r="H474" s="63"/>
      <c r="I474" s="63"/>
    </row>
    <row r="475" spans="6:9">
      <c r="F475" s="63"/>
      <c r="G475" s="63"/>
      <c r="H475" s="63"/>
      <c r="I475" s="63"/>
    </row>
    <row r="476" spans="6:9">
      <c r="F476" s="63"/>
      <c r="G476" s="63"/>
      <c r="H476" s="63"/>
      <c r="I476" s="63"/>
    </row>
    <row r="477" spans="6:9">
      <c r="F477" s="63"/>
      <c r="G477" s="63"/>
      <c r="H477" s="63"/>
      <c r="I477" s="63"/>
    </row>
    <row r="478" spans="6:9">
      <c r="F478" s="63"/>
      <c r="G478" s="63"/>
      <c r="H478" s="63"/>
      <c r="I478" s="63"/>
    </row>
    <row r="479" spans="6:9">
      <c r="F479" s="63"/>
      <c r="G479" s="63"/>
      <c r="H479" s="63"/>
      <c r="I479" s="63"/>
    </row>
    <row r="480" spans="6:9">
      <c r="F480" s="63"/>
      <c r="G480" s="63"/>
      <c r="H480" s="63"/>
      <c r="I480" s="63"/>
    </row>
    <row r="481" spans="6:9">
      <c r="F481" s="63"/>
      <c r="G481" s="63"/>
      <c r="H481" s="63"/>
      <c r="I481" s="63"/>
    </row>
    <row r="482" spans="6:9">
      <c r="F482" s="63"/>
      <c r="G482" s="63"/>
      <c r="H482" s="63"/>
      <c r="I482" s="63"/>
    </row>
    <row r="483" spans="6:9">
      <c r="F483" s="63"/>
      <c r="G483" s="63"/>
      <c r="H483" s="63"/>
      <c r="I483" s="63"/>
    </row>
    <row r="484" spans="6:9">
      <c r="F484" s="63"/>
      <c r="G484" s="63"/>
      <c r="H484" s="63"/>
      <c r="I484" s="63"/>
    </row>
    <row r="485" spans="6:9">
      <c r="F485" s="63"/>
      <c r="G485" s="63"/>
      <c r="H485" s="63"/>
      <c r="I485" s="63"/>
    </row>
    <row r="486" spans="6:9">
      <c r="F486" s="63"/>
      <c r="G486" s="63"/>
      <c r="H486" s="63"/>
      <c r="I486" s="63"/>
    </row>
    <row r="487" spans="6:9">
      <c r="F487" s="63"/>
      <c r="G487" s="63"/>
      <c r="H487" s="63"/>
      <c r="I487" s="63"/>
    </row>
    <row r="488" spans="6:9">
      <c r="F488" s="63"/>
      <c r="G488" s="63"/>
      <c r="H488" s="63"/>
      <c r="I488" s="63"/>
    </row>
    <row r="489" spans="6:9">
      <c r="F489" s="63"/>
      <c r="G489" s="63"/>
      <c r="H489" s="63"/>
      <c r="I489" s="63"/>
    </row>
    <row r="490" spans="6:9">
      <c r="F490" s="63"/>
      <c r="G490" s="63"/>
      <c r="H490" s="63"/>
      <c r="I490" s="63"/>
    </row>
    <row r="491" spans="6:9">
      <c r="F491" s="63"/>
      <c r="G491" s="63"/>
      <c r="H491" s="63"/>
      <c r="I491" s="63"/>
    </row>
    <row r="492" spans="6:9">
      <c r="F492" s="63"/>
      <c r="G492" s="63"/>
      <c r="H492" s="63"/>
      <c r="I492" s="63"/>
    </row>
    <row r="493" spans="6:9">
      <c r="F493" s="63"/>
      <c r="G493" s="63"/>
      <c r="H493" s="63"/>
      <c r="I493" s="63"/>
    </row>
    <row r="494" spans="6:9">
      <c r="F494" s="63"/>
      <c r="G494" s="63"/>
      <c r="H494" s="63"/>
      <c r="I494" s="63"/>
    </row>
    <row r="495" spans="6:9">
      <c r="F495" s="63"/>
      <c r="G495" s="63"/>
      <c r="H495" s="63"/>
      <c r="I495" s="63"/>
    </row>
    <row r="496" spans="6:9">
      <c r="F496" s="63"/>
      <c r="G496" s="63"/>
      <c r="H496" s="63"/>
      <c r="I496" s="63"/>
    </row>
    <row r="497" spans="6:9">
      <c r="F497" s="63"/>
      <c r="G497" s="63"/>
      <c r="H497" s="63"/>
      <c r="I497" s="63"/>
    </row>
    <row r="498" spans="6:9">
      <c r="F498" s="63"/>
      <c r="G498" s="63"/>
      <c r="H498" s="63"/>
      <c r="I498" s="63"/>
    </row>
    <row r="499" spans="6:9">
      <c r="F499" s="63"/>
      <c r="G499" s="63"/>
      <c r="H499" s="63"/>
      <c r="I499" s="63"/>
    </row>
    <row r="500" spans="6:9">
      <c r="F500" s="63"/>
      <c r="G500" s="63"/>
      <c r="H500" s="63"/>
      <c r="I500" s="63"/>
    </row>
    <row r="501" spans="6:9">
      <c r="F501" s="63"/>
      <c r="G501" s="63"/>
      <c r="H501" s="63"/>
      <c r="I501" s="63"/>
    </row>
    <row r="502" spans="6:9">
      <c r="F502" s="63"/>
      <c r="G502" s="63"/>
      <c r="H502" s="63"/>
      <c r="I502" s="63"/>
    </row>
    <row r="503" spans="6:9">
      <c r="F503" s="63"/>
      <c r="G503" s="63"/>
      <c r="H503" s="63"/>
      <c r="I503" s="63"/>
    </row>
    <row r="504" spans="6:9">
      <c r="F504" s="63"/>
      <c r="G504" s="63"/>
      <c r="H504" s="63"/>
      <c r="I504" s="63"/>
    </row>
    <row r="505" spans="6:9">
      <c r="F505" s="63"/>
      <c r="G505" s="63"/>
      <c r="H505" s="63"/>
      <c r="I505" s="63"/>
    </row>
    <row r="506" spans="6:9">
      <c r="F506" s="63"/>
      <c r="G506" s="63"/>
      <c r="H506" s="63"/>
      <c r="I506" s="63"/>
    </row>
    <row r="507" spans="6:9">
      <c r="F507" s="63"/>
      <c r="G507" s="63"/>
      <c r="H507" s="63"/>
      <c r="I507" s="63"/>
    </row>
    <row r="508" spans="6:9">
      <c r="F508" s="63"/>
      <c r="G508" s="63"/>
      <c r="H508" s="63"/>
      <c r="I508" s="63"/>
    </row>
    <row r="509" spans="6:9">
      <c r="F509" s="63"/>
      <c r="G509" s="63"/>
      <c r="H509" s="63"/>
      <c r="I509" s="63"/>
    </row>
    <row r="510" spans="6:9">
      <c r="F510" s="63"/>
      <c r="G510" s="63"/>
      <c r="H510" s="63"/>
      <c r="I510" s="63"/>
    </row>
    <row r="511" spans="6:9">
      <c r="F511" s="63"/>
      <c r="G511" s="63"/>
      <c r="H511" s="63"/>
      <c r="I511" s="63"/>
    </row>
    <row r="512" spans="6:9">
      <c r="F512" s="63"/>
      <c r="G512" s="63"/>
      <c r="H512" s="63"/>
      <c r="I512" s="63"/>
    </row>
    <row r="513" spans="6:9">
      <c r="F513" s="63"/>
      <c r="G513" s="63"/>
      <c r="H513" s="63"/>
      <c r="I513" s="63"/>
    </row>
    <row r="514" spans="6:9">
      <c r="F514" s="63"/>
      <c r="G514" s="63"/>
      <c r="H514" s="63"/>
      <c r="I514" s="63"/>
    </row>
    <row r="515" spans="6:9">
      <c r="F515" s="63"/>
      <c r="G515" s="63"/>
      <c r="H515" s="63"/>
      <c r="I515" s="63"/>
    </row>
    <row r="516" spans="6:9">
      <c r="F516" s="63"/>
      <c r="G516" s="63"/>
      <c r="H516" s="63"/>
      <c r="I516" s="63"/>
    </row>
    <row r="517" spans="6:9">
      <c r="F517" s="63"/>
      <c r="G517" s="63"/>
      <c r="H517" s="63"/>
      <c r="I517" s="63"/>
    </row>
    <row r="518" spans="6:9">
      <c r="F518" s="63"/>
      <c r="G518" s="63"/>
      <c r="H518" s="63"/>
      <c r="I518" s="63"/>
    </row>
    <row r="519" spans="6:9">
      <c r="F519" s="63"/>
      <c r="G519" s="63"/>
      <c r="H519" s="63"/>
      <c r="I519" s="63"/>
    </row>
    <row r="520" spans="6:9">
      <c r="F520" s="63"/>
      <c r="G520" s="63"/>
      <c r="H520" s="63"/>
      <c r="I520" s="63"/>
    </row>
    <row r="521" spans="6:9">
      <c r="F521" s="63"/>
      <c r="G521" s="63"/>
      <c r="H521" s="63"/>
      <c r="I521" s="63"/>
    </row>
    <row r="522" spans="6:9">
      <c r="F522" s="63"/>
      <c r="G522" s="63"/>
      <c r="H522" s="63"/>
      <c r="I522" s="63"/>
    </row>
    <row r="523" spans="6:9">
      <c r="F523" s="63"/>
      <c r="G523" s="63"/>
      <c r="H523" s="63"/>
      <c r="I523" s="63"/>
    </row>
    <row r="524" spans="6:9">
      <c r="F524" s="63"/>
      <c r="G524" s="63"/>
      <c r="H524" s="63"/>
      <c r="I524" s="63"/>
    </row>
    <row r="525" spans="6:9">
      <c r="F525" s="63"/>
      <c r="G525" s="63"/>
      <c r="H525" s="63"/>
      <c r="I525" s="63"/>
    </row>
    <row r="526" spans="6:9">
      <c r="F526" s="63"/>
      <c r="G526" s="63"/>
      <c r="H526" s="63"/>
      <c r="I526" s="63"/>
    </row>
    <row r="527" spans="6:9">
      <c r="F527" s="63"/>
      <c r="G527" s="63"/>
      <c r="H527" s="63"/>
      <c r="I527" s="63"/>
    </row>
    <row r="528" spans="6:9">
      <c r="F528" s="63"/>
      <c r="G528" s="63"/>
      <c r="H528" s="63"/>
      <c r="I528" s="63"/>
    </row>
    <row r="529" spans="6:9">
      <c r="F529" s="63"/>
      <c r="G529" s="63"/>
      <c r="H529" s="63"/>
      <c r="I529" s="63"/>
    </row>
    <row r="530" spans="6:9">
      <c r="F530" s="63"/>
      <c r="G530" s="63"/>
      <c r="H530" s="63"/>
      <c r="I530" s="63"/>
    </row>
    <row r="531" spans="6:9">
      <c r="F531" s="63"/>
      <c r="G531" s="63"/>
      <c r="H531" s="63"/>
      <c r="I531" s="63"/>
    </row>
    <row r="532" spans="6:9">
      <c r="F532" s="63"/>
      <c r="G532" s="63"/>
      <c r="H532" s="63"/>
      <c r="I532" s="63"/>
    </row>
    <row r="533" spans="6:9">
      <c r="F533" s="63"/>
      <c r="G533" s="63"/>
      <c r="H533" s="63"/>
      <c r="I533" s="63"/>
    </row>
    <row r="534" spans="6:9">
      <c r="F534" s="63"/>
      <c r="G534" s="63"/>
      <c r="H534" s="63"/>
      <c r="I534" s="63"/>
    </row>
    <row r="535" spans="6:9">
      <c r="F535" s="63"/>
      <c r="G535" s="63"/>
      <c r="H535" s="63"/>
      <c r="I535" s="63"/>
    </row>
    <row r="536" spans="6:9">
      <c r="F536" s="63"/>
      <c r="G536" s="63"/>
      <c r="H536" s="63"/>
      <c r="I536" s="63"/>
    </row>
    <row r="537" spans="6:9">
      <c r="F537" s="63"/>
      <c r="G537" s="63"/>
      <c r="H537" s="63"/>
      <c r="I537" s="63"/>
    </row>
    <row r="538" spans="6:9">
      <c r="F538" s="63"/>
      <c r="G538" s="63"/>
      <c r="H538" s="63"/>
      <c r="I538" s="63"/>
    </row>
    <row r="539" spans="6:9">
      <c r="F539" s="63"/>
      <c r="G539" s="63"/>
      <c r="H539" s="63"/>
      <c r="I539" s="63"/>
    </row>
    <row r="540" spans="6:9">
      <c r="F540" s="63"/>
      <c r="G540" s="63"/>
      <c r="H540" s="63"/>
      <c r="I540" s="63"/>
    </row>
    <row r="541" spans="6:9">
      <c r="F541" s="63"/>
      <c r="G541" s="63"/>
      <c r="H541" s="63"/>
      <c r="I541" s="63"/>
    </row>
    <row r="542" spans="6:9">
      <c r="F542" s="63"/>
      <c r="G542" s="63"/>
      <c r="H542" s="63"/>
      <c r="I542" s="63"/>
    </row>
    <row r="543" spans="6:9">
      <c r="F543" s="63"/>
      <c r="G543" s="63"/>
      <c r="H543" s="63"/>
      <c r="I543" s="63"/>
    </row>
    <row r="544" spans="6:9">
      <c r="F544" s="63"/>
      <c r="G544" s="63"/>
      <c r="H544" s="63"/>
      <c r="I544" s="63"/>
    </row>
    <row r="545" spans="6:9">
      <c r="F545" s="63"/>
      <c r="G545" s="63"/>
      <c r="H545" s="63"/>
      <c r="I545" s="63"/>
    </row>
    <row r="546" spans="6:9">
      <c r="F546" s="63"/>
      <c r="G546" s="63"/>
      <c r="H546" s="63"/>
      <c r="I546" s="63"/>
    </row>
    <row r="547" spans="6:9">
      <c r="F547" s="63"/>
      <c r="G547" s="63"/>
      <c r="H547" s="63"/>
      <c r="I547" s="63"/>
    </row>
    <row r="548" spans="6:9">
      <c r="F548" s="63"/>
      <c r="G548" s="63"/>
      <c r="H548" s="63"/>
      <c r="I548" s="63"/>
    </row>
    <row r="549" spans="6:9">
      <c r="F549" s="63"/>
      <c r="G549" s="63"/>
      <c r="H549" s="63"/>
      <c r="I549" s="63"/>
    </row>
    <row r="550" spans="6:9">
      <c r="F550" s="63"/>
      <c r="G550" s="63"/>
      <c r="H550" s="63"/>
      <c r="I550" s="63"/>
    </row>
    <row r="551" spans="6:9">
      <c r="F551" s="63"/>
      <c r="G551" s="63"/>
      <c r="H551" s="63"/>
      <c r="I551" s="63"/>
    </row>
    <row r="552" spans="6:9">
      <c r="F552" s="63"/>
      <c r="G552" s="63"/>
      <c r="H552" s="63"/>
      <c r="I552" s="63"/>
    </row>
    <row r="553" spans="6:9">
      <c r="F553" s="63"/>
      <c r="G553" s="63"/>
      <c r="H553" s="63"/>
      <c r="I553" s="63"/>
    </row>
    <row r="554" spans="6:9">
      <c r="F554" s="63"/>
      <c r="G554" s="63"/>
      <c r="H554" s="63"/>
      <c r="I554" s="63"/>
    </row>
    <row r="555" spans="6:9">
      <c r="F555" s="63"/>
      <c r="G555" s="63"/>
      <c r="H555" s="63"/>
      <c r="I555" s="63"/>
    </row>
    <row r="556" spans="6:9">
      <c r="F556" s="63"/>
      <c r="G556" s="63"/>
      <c r="H556" s="63"/>
      <c r="I556" s="63"/>
    </row>
    <row r="557" spans="6:9">
      <c r="F557" s="63"/>
      <c r="G557" s="63"/>
      <c r="H557" s="63"/>
      <c r="I557" s="63"/>
    </row>
    <row r="558" spans="6:9">
      <c r="F558" s="63"/>
      <c r="G558" s="63"/>
      <c r="H558" s="63"/>
      <c r="I558" s="63"/>
    </row>
    <row r="559" spans="6:9">
      <c r="F559" s="63"/>
      <c r="G559" s="63"/>
      <c r="H559" s="63"/>
      <c r="I559" s="63"/>
    </row>
    <row r="560" spans="6:9">
      <c r="F560" s="63"/>
      <c r="G560" s="63"/>
      <c r="H560" s="63"/>
      <c r="I560" s="63"/>
    </row>
    <row r="561" spans="6:9">
      <c r="F561" s="63"/>
      <c r="G561" s="63"/>
      <c r="H561" s="63"/>
      <c r="I561" s="63"/>
    </row>
    <row r="562" spans="6:9">
      <c r="F562" s="63"/>
      <c r="G562" s="63"/>
      <c r="H562" s="63"/>
      <c r="I562" s="63"/>
    </row>
    <row r="563" spans="6:9">
      <c r="F563" s="63"/>
      <c r="G563" s="63"/>
      <c r="H563" s="63"/>
      <c r="I563" s="63"/>
    </row>
    <row r="564" spans="6:9">
      <c r="F564" s="63"/>
      <c r="G564" s="63"/>
      <c r="H564" s="63"/>
      <c r="I564" s="63"/>
    </row>
    <row r="565" spans="6:9">
      <c r="F565" s="63"/>
      <c r="G565" s="63"/>
      <c r="H565" s="63"/>
      <c r="I565" s="63"/>
    </row>
    <row r="566" spans="6:9">
      <c r="F566" s="63"/>
      <c r="G566" s="63"/>
      <c r="H566" s="63"/>
      <c r="I566" s="63"/>
    </row>
    <row r="567" spans="6:9">
      <c r="F567" s="63"/>
      <c r="G567" s="63"/>
      <c r="H567" s="63"/>
      <c r="I567" s="63"/>
    </row>
    <row r="568" spans="6:9">
      <c r="F568" s="63"/>
      <c r="G568" s="63"/>
      <c r="H568" s="63"/>
      <c r="I568" s="63"/>
    </row>
    <row r="569" spans="6:9">
      <c r="F569" s="63"/>
      <c r="G569" s="63"/>
      <c r="H569" s="63"/>
      <c r="I569" s="63"/>
    </row>
    <row r="570" spans="6:9">
      <c r="F570" s="63"/>
      <c r="G570" s="63"/>
      <c r="H570" s="63"/>
      <c r="I570" s="63"/>
    </row>
    <row r="571" spans="6:9">
      <c r="F571" s="63"/>
      <c r="G571" s="63"/>
      <c r="H571" s="63"/>
      <c r="I571" s="63"/>
    </row>
    <row r="572" spans="6:9">
      <c r="F572" s="63"/>
      <c r="G572" s="63"/>
      <c r="H572" s="63"/>
      <c r="I572" s="63"/>
    </row>
    <row r="573" spans="6:9">
      <c r="F573" s="63"/>
      <c r="G573" s="63"/>
      <c r="H573" s="63"/>
      <c r="I573" s="63"/>
    </row>
    <row r="574" spans="6:9">
      <c r="F574" s="63"/>
      <c r="G574" s="63"/>
      <c r="H574" s="63"/>
      <c r="I574" s="63"/>
    </row>
    <row r="575" spans="6:9">
      <c r="F575" s="63"/>
      <c r="G575" s="63"/>
      <c r="H575" s="63"/>
      <c r="I575" s="63"/>
    </row>
    <row r="576" spans="6:9">
      <c r="F576" s="63"/>
      <c r="G576" s="63"/>
      <c r="H576" s="63"/>
      <c r="I576" s="63"/>
    </row>
    <row r="577" spans="6:9">
      <c r="F577" s="63"/>
      <c r="G577" s="63"/>
      <c r="H577" s="63"/>
      <c r="I577" s="63"/>
    </row>
    <row r="578" spans="6:9">
      <c r="F578" s="63"/>
      <c r="G578" s="63"/>
      <c r="H578" s="63"/>
      <c r="I578" s="63"/>
    </row>
    <row r="579" spans="6:9">
      <c r="F579" s="63"/>
      <c r="G579" s="63"/>
      <c r="H579" s="63"/>
      <c r="I579" s="63"/>
    </row>
    <row r="580" spans="6:9">
      <c r="F580" s="63"/>
      <c r="G580" s="63"/>
      <c r="H580" s="63"/>
      <c r="I580" s="63"/>
    </row>
    <row r="581" spans="6:9">
      <c r="F581" s="63"/>
      <c r="G581" s="63"/>
      <c r="H581" s="63"/>
      <c r="I581" s="63"/>
    </row>
    <row r="582" spans="6:9">
      <c r="F582" s="63"/>
      <c r="G582" s="63"/>
      <c r="H582" s="63"/>
      <c r="I582" s="63"/>
    </row>
    <row r="583" spans="6:9">
      <c r="F583" s="63"/>
      <c r="G583" s="63"/>
      <c r="H583" s="63"/>
      <c r="I583" s="63"/>
    </row>
    <row r="584" spans="6:9">
      <c r="F584" s="63"/>
      <c r="G584" s="63"/>
      <c r="H584" s="63"/>
      <c r="I584" s="63"/>
    </row>
    <row r="585" spans="6:9">
      <c r="F585" s="63"/>
      <c r="G585" s="63"/>
      <c r="H585" s="63"/>
      <c r="I585" s="63"/>
    </row>
    <row r="586" spans="6:9">
      <c r="F586" s="63"/>
      <c r="G586" s="63"/>
      <c r="H586" s="63"/>
      <c r="I586" s="63"/>
    </row>
    <row r="587" spans="6:9">
      <c r="F587" s="63"/>
      <c r="G587" s="63"/>
      <c r="H587" s="63"/>
      <c r="I587" s="63"/>
    </row>
    <row r="588" spans="6:9">
      <c r="F588" s="63"/>
      <c r="G588" s="63"/>
      <c r="H588" s="63"/>
      <c r="I588" s="63"/>
    </row>
    <row r="589" spans="6:9">
      <c r="F589" s="63"/>
      <c r="G589" s="63"/>
      <c r="H589" s="63"/>
      <c r="I589" s="63"/>
    </row>
    <row r="590" spans="6:9">
      <c r="F590" s="63"/>
      <c r="G590" s="63"/>
      <c r="H590" s="63"/>
      <c r="I590" s="63"/>
    </row>
    <row r="591" spans="6:9">
      <c r="F591" s="63"/>
      <c r="G591" s="63"/>
      <c r="H591" s="63"/>
      <c r="I591" s="63"/>
    </row>
    <row r="592" spans="6:9">
      <c r="F592" s="63"/>
      <c r="G592" s="63"/>
      <c r="H592" s="63"/>
      <c r="I592" s="63"/>
    </row>
    <row r="593" spans="6:9">
      <c r="F593" s="63"/>
      <c r="G593" s="63"/>
      <c r="H593" s="63"/>
      <c r="I593" s="63"/>
    </row>
    <row r="594" spans="6:9">
      <c r="F594" s="63"/>
      <c r="G594" s="63"/>
      <c r="H594" s="63"/>
      <c r="I594" s="63"/>
    </row>
    <row r="595" spans="6:9">
      <c r="F595" s="63"/>
      <c r="G595" s="63"/>
      <c r="H595" s="63"/>
      <c r="I595" s="63"/>
    </row>
    <row r="596" spans="6:9">
      <c r="F596" s="63"/>
      <c r="G596" s="63"/>
      <c r="H596" s="63"/>
      <c r="I596" s="63"/>
    </row>
    <row r="597" spans="6:9">
      <c r="F597" s="63"/>
      <c r="G597" s="63"/>
      <c r="H597" s="63"/>
      <c r="I597" s="63"/>
    </row>
    <row r="598" spans="6:9">
      <c r="F598" s="63"/>
      <c r="G598" s="63"/>
      <c r="H598" s="63"/>
      <c r="I598" s="63"/>
    </row>
    <row r="599" spans="6:9">
      <c r="F599" s="63"/>
      <c r="G599" s="63"/>
      <c r="H599" s="63"/>
      <c r="I599" s="63"/>
    </row>
    <row r="600" spans="6:9">
      <c r="F600" s="63"/>
      <c r="G600" s="63"/>
      <c r="H600" s="63"/>
      <c r="I600" s="63"/>
    </row>
    <row r="601" spans="6:9">
      <c r="F601" s="63"/>
      <c r="G601" s="63"/>
      <c r="H601" s="63"/>
      <c r="I601" s="63"/>
    </row>
    <row r="602" spans="6:9">
      <c r="F602" s="63"/>
      <c r="G602" s="63"/>
      <c r="H602" s="63"/>
      <c r="I602" s="63"/>
    </row>
    <row r="603" spans="6:9">
      <c r="F603" s="63"/>
      <c r="G603" s="63"/>
      <c r="H603" s="63"/>
      <c r="I603" s="63"/>
    </row>
    <row r="604" spans="6:9">
      <c r="F604" s="63"/>
      <c r="G604" s="63"/>
      <c r="H604" s="63"/>
      <c r="I604" s="63"/>
    </row>
    <row r="605" spans="6:9">
      <c r="F605" s="63"/>
      <c r="G605" s="63"/>
      <c r="H605" s="63"/>
      <c r="I605" s="63"/>
    </row>
    <row r="606" spans="6:9">
      <c r="F606" s="63"/>
      <c r="G606" s="63"/>
      <c r="H606" s="63"/>
      <c r="I606" s="63"/>
    </row>
    <row r="607" spans="6:9">
      <c r="F607" s="63"/>
      <c r="G607" s="63"/>
      <c r="H607" s="63"/>
      <c r="I607" s="63"/>
    </row>
    <row r="608" spans="6:9">
      <c r="F608" s="63"/>
      <c r="G608" s="63"/>
      <c r="H608" s="63"/>
      <c r="I608" s="63"/>
    </row>
    <row r="609" spans="6:9">
      <c r="F609" s="63"/>
      <c r="G609" s="63"/>
      <c r="H609" s="63"/>
      <c r="I609" s="63"/>
    </row>
    <row r="610" spans="6:9">
      <c r="F610" s="63"/>
      <c r="G610" s="63"/>
      <c r="H610" s="63"/>
      <c r="I610" s="63"/>
    </row>
    <row r="611" spans="6:9">
      <c r="F611" s="63"/>
      <c r="G611" s="63"/>
      <c r="H611" s="63"/>
      <c r="I611" s="63"/>
    </row>
    <row r="612" spans="6:9">
      <c r="F612" s="63"/>
      <c r="G612" s="63"/>
      <c r="H612" s="63"/>
      <c r="I612" s="63"/>
    </row>
    <row r="613" spans="6:9">
      <c r="F613" s="63"/>
      <c r="G613" s="63"/>
      <c r="H613" s="63"/>
      <c r="I613" s="63"/>
    </row>
    <row r="614" spans="6:9">
      <c r="F614" s="63"/>
      <c r="G614" s="63"/>
      <c r="H614" s="63"/>
      <c r="I614" s="63"/>
    </row>
    <row r="615" spans="6:9">
      <c r="F615" s="63"/>
      <c r="G615" s="63"/>
      <c r="H615" s="63"/>
      <c r="I615" s="63"/>
    </row>
    <row r="616" spans="6:9">
      <c r="F616" s="63"/>
      <c r="G616" s="63"/>
      <c r="H616" s="63"/>
      <c r="I616" s="63"/>
    </row>
    <row r="617" spans="6:9">
      <c r="F617" s="63"/>
      <c r="G617" s="63"/>
      <c r="H617" s="63"/>
      <c r="I617" s="63"/>
    </row>
    <row r="618" spans="6:9">
      <c r="F618" s="63"/>
      <c r="G618" s="63"/>
      <c r="H618" s="63"/>
      <c r="I618" s="63"/>
    </row>
    <row r="619" spans="6:9">
      <c r="F619" s="63"/>
      <c r="G619" s="63"/>
      <c r="H619" s="63"/>
      <c r="I619" s="63"/>
    </row>
    <row r="620" spans="6:9">
      <c r="F620" s="63"/>
      <c r="G620" s="63"/>
      <c r="H620" s="63"/>
      <c r="I620" s="63"/>
    </row>
    <row r="621" spans="6:9">
      <c r="F621" s="63"/>
      <c r="G621" s="63"/>
      <c r="H621" s="63"/>
      <c r="I621" s="63"/>
    </row>
    <row r="622" spans="6:9">
      <c r="F622" s="63"/>
      <c r="G622" s="63"/>
      <c r="H622" s="63"/>
      <c r="I622" s="63"/>
    </row>
    <row r="623" spans="6:9">
      <c r="F623" s="63"/>
      <c r="G623" s="63"/>
      <c r="H623" s="63"/>
      <c r="I623" s="63"/>
    </row>
    <row r="624" spans="6:9">
      <c r="F624" s="63"/>
      <c r="G624" s="63"/>
      <c r="H624" s="63"/>
      <c r="I624" s="63"/>
    </row>
    <row r="625" spans="6:9">
      <c r="F625" s="63"/>
      <c r="G625" s="63"/>
      <c r="H625" s="63"/>
      <c r="I625" s="63"/>
    </row>
    <row r="626" spans="6:9">
      <c r="F626" s="63"/>
      <c r="G626" s="63"/>
      <c r="H626" s="63"/>
      <c r="I626" s="63"/>
    </row>
    <row r="627" spans="6:9">
      <c r="F627" s="63"/>
      <c r="G627" s="63"/>
      <c r="H627" s="63"/>
      <c r="I627" s="63"/>
    </row>
    <row r="628" spans="6:9">
      <c r="F628" s="63"/>
      <c r="G628" s="63"/>
      <c r="H628" s="63"/>
      <c r="I628" s="63"/>
    </row>
    <row r="629" spans="6:9">
      <c r="F629" s="63"/>
      <c r="G629" s="63"/>
      <c r="H629" s="63"/>
      <c r="I629" s="63"/>
    </row>
    <row r="630" spans="6:9">
      <c r="F630" s="63"/>
      <c r="G630" s="63"/>
      <c r="H630" s="63"/>
      <c r="I630" s="63"/>
    </row>
    <row r="631" spans="6:9">
      <c r="F631" s="63"/>
      <c r="G631" s="63"/>
      <c r="H631" s="63"/>
      <c r="I631" s="63"/>
    </row>
    <row r="632" spans="6:9">
      <c r="F632" s="63"/>
      <c r="G632" s="63"/>
      <c r="H632" s="63"/>
      <c r="I632" s="63"/>
    </row>
    <row r="633" spans="6:9">
      <c r="F633" s="63"/>
      <c r="G633" s="63"/>
      <c r="H633" s="63"/>
      <c r="I633" s="63"/>
    </row>
    <row r="634" spans="6:9">
      <c r="F634" s="63"/>
      <c r="G634" s="63"/>
      <c r="H634" s="63"/>
      <c r="I634" s="63"/>
    </row>
    <row r="635" spans="6:9">
      <c r="F635" s="63"/>
      <c r="G635" s="63"/>
      <c r="H635" s="63"/>
      <c r="I635" s="63"/>
    </row>
    <row r="636" spans="6:9">
      <c r="F636" s="63"/>
      <c r="G636" s="63"/>
      <c r="H636" s="63"/>
      <c r="I636" s="63"/>
    </row>
    <row r="637" spans="6:9">
      <c r="F637" s="63"/>
      <c r="G637" s="63"/>
      <c r="H637" s="63"/>
      <c r="I637" s="63"/>
    </row>
    <row r="638" spans="6:9">
      <c r="F638" s="63"/>
      <c r="G638" s="63"/>
      <c r="H638" s="63"/>
      <c r="I638" s="63"/>
    </row>
    <row r="639" spans="6:9">
      <c r="F639" s="63"/>
      <c r="G639" s="63"/>
      <c r="H639" s="63"/>
      <c r="I639" s="63"/>
    </row>
    <row r="640" spans="6:9">
      <c r="F640" s="63"/>
      <c r="G640" s="63"/>
      <c r="H640" s="63"/>
      <c r="I640" s="63"/>
    </row>
    <row r="641" spans="6:9">
      <c r="F641" s="63"/>
      <c r="G641" s="63"/>
      <c r="H641" s="63"/>
      <c r="I641" s="63"/>
    </row>
    <row r="642" spans="6:9">
      <c r="F642" s="63"/>
      <c r="G642" s="63"/>
      <c r="H642" s="63"/>
      <c r="I642" s="63"/>
    </row>
    <row r="643" spans="6:9">
      <c r="F643" s="63"/>
      <c r="G643" s="63"/>
      <c r="H643" s="63"/>
      <c r="I643" s="63"/>
    </row>
    <row r="644" spans="6:9">
      <c r="F644" s="63"/>
      <c r="G644" s="63"/>
      <c r="H644" s="63"/>
      <c r="I644" s="63"/>
    </row>
    <row r="645" spans="6:9">
      <c r="F645" s="63"/>
      <c r="G645" s="63"/>
      <c r="H645" s="63"/>
      <c r="I645" s="63"/>
    </row>
    <row r="646" spans="6:9">
      <c r="F646" s="63"/>
      <c r="G646" s="63"/>
      <c r="H646" s="63"/>
      <c r="I646" s="63"/>
    </row>
    <row r="647" spans="6:9">
      <c r="F647" s="63"/>
      <c r="G647" s="63"/>
      <c r="H647" s="63"/>
      <c r="I647" s="63"/>
    </row>
    <row r="648" spans="6:9">
      <c r="F648" s="63"/>
      <c r="G648" s="63"/>
      <c r="H648" s="63"/>
      <c r="I648" s="63"/>
    </row>
    <row r="649" spans="6:9">
      <c r="F649" s="63"/>
      <c r="G649" s="63"/>
      <c r="H649" s="63"/>
      <c r="I649" s="63"/>
    </row>
    <row r="650" spans="6:9">
      <c r="F650" s="63"/>
      <c r="G650" s="63"/>
      <c r="H650" s="63"/>
      <c r="I650" s="63"/>
    </row>
    <row r="651" spans="6:9">
      <c r="F651" s="63"/>
      <c r="G651" s="63"/>
      <c r="H651" s="63"/>
      <c r="I651" s="63"/>
    </row>
    <row r="652" spans="6:9">
      <c r="F652" s="63"/>
      <c r="G652" s="63"/>
      <c r="H652" s="63"/>
      <c r="I652" s="63"/>
    </row>
    <row r="653" spans="6:9">
      <c r="F653" s="63"/>
      <c r="G653" s="63"/>
      <c r="H653" s="63"/>
      <c r="I653" s="63"/>
    </row>
    <row r="654" spans="6:9">
      <c r="F654" s="63"/>
      <c r="G654" s="63"/>
      <c r="H654" s="63"/>
      <c r="I654" s="63"/>
    </row>
    <row r="655" spans="6:9">
      <c r="F655" s="63"/>
      <c r="G655" s="63"/>
      <c r="H655" s="63"/>
      <c r="I655" s="63"/>
    </row>
    <row r="656" spans="6:9">
      <c r="F656" s="63"/>
      <c r="G656" s="63"/>
      <c r="H656" s="63"/>
      <c r="I656" s="63"/>
    </row>
    <row r="657" spans="6:9">
      <c r="F657" s="63"/>
      <c r="G657" s="63"/>
      <c r="H657" s="63"/>
      <c r="I657" s="63"/>
    </row>
    <row r="658" spans="6:9">
      <c r="F658" s="63"/>
      <c r="G658" s="63"/>
      <c r="H658" s="63"/>
      <c r="I658" s="63"/>
    </row>
    <row r="659" spans="6:9">
      <c r="F659" s="63"/>
      <c r="G659" s="63"/>
      <c r="H659" s="63"/>
      <c r="I659" s="63"/>
    </row>
    <row r="660" spans="6:9">
      <c r="F660" s="63"/>
      <c r="G660" s="63"/>
      <c r="H660" s="63"/>
      <c r="I660" s="63"/>
    </row>
    <row r="661" spans="6:9">
      <c r="F661" s="63"/>
      <c r="G661" s="63"/>
      <c r="H661" s="63"/>
      <c r="I661" s="63"/>
    </row>
    <row r="662" spans="6:9">
      <c r="F662" s="63"/>
      <c r="G662" s="63"/>
      <c r="H662" s="63"/>
      <c r="I662" s="63"/>
    </row>
    <row r="663" spans="6:9">
      <c r="F663" s="63"/>
      <c r="G663" s="63"/>
      <c r="H663" s="63"/>
      <c r="I663" s="63"/>
    </row>
    <row r="664" spans="6:9">
      <c r="F664" s="63"/>
      <c r="G664" s="63"/>
      <c r="H664" s="63"/>
      <c r="I664" s="63"/>
    </row>
    <row r="665" spans="6:9">
      <c r="F665" s="63"/>
      <c r="G665" s="63"/>
      <c r="H665" s="63"/>
      <c r="I665" s="63"/>
    </row>
    <row r="666" spans="6:9">
      <c r="F666" s="63"/>
      <c r="G666" s="63"/>
      <c r="H666" s="63"/>
      <c r="I666" s="63"/>
    </row>
    <row r="667" spans="6:9">
      <c r="F667" s="63"/>
      <c r="G667" s="63"/>
      <c r="H667" s="63"/>
      <c r="I667" s="63"/>
    </row>
    <row r="668" spans="6:9">
      <c r="F668" s="63"/>
      <c r="G668" s="63"/>
      <c r="H668" s="63"/>
      <c r="I668" s="63"/>
    </row>
    <row r="669" spans="6:9">
      <c r="F669" s="63"/>
      <c r="G669" s="63"/>
      <c r="H669" s="63"/>
      <c r="I669" s="63"/>
    </row>
    <row r="670" spans="6:9">
      <c r="F670" s="63"/>
      <c r="G670" s="63"/>
      <c r="H670" s="63"/>
      <c r="I670" s="63"/>
    </row>
    <row r="671" spans="6:9">
      <c r="F671" s="63"/>
      <c r="G671" s="63"/>
      <c r="H671" s="63"/>
      <c r="I671" s="63"/>
    </row>
    <row r="672" spans="6:9">
      <c r="F672" s="63"/>
      <c r="G672" s="63"/>
      <c r="H672" s="63"/>
      <c r="I672" s="63"/>
    </row>
    <row r="673" spans="6:9">
      <c r="F673" s="63"/>
      <c r="G673" s="63"/>
      <c r="H673" s="63"/>
      <c r="I673" s="63"/>
    </row>
    <row r="674" spans="6:9">
      <c r="F674" s="63"/>
      <c r="G674" s="63"/>
      <c r="H674" s="63"/>
      <c r="I674" s="63"/>
    </row>
    <row r="675" spans="6:9">
      <c r="F675" s="63"/>
      <c r="G675" s="63"/>
      <c r="H675" s="63"/>
      <c r="I675" s="63"/>
    </row>
    <row r="676" spans="6:9">
      <c r="F676" s="63"/>
      <c r="G676" s="63"/>
      <c r="H676" s="63"/>
      <c r="I676" s="63"/>
    </row>
    <row r="677" spans="6:9">
      <c r="F677" s="63"/>
      <c r="G677" s="63"/>
      <c r="H677" s="63"/>
      <c r="I677" s="63"/>
    </row>
    <row r="678" spans="6:9">
      <c r="F678" s="63"/>
      <c r="G678" s="63"/>
      <c r="H678" s="63"/>
      <c r="I678" s="63"/>
    </row>
    <row r="679" spans="6:9">
      <c r="F679" s="63"/>
      <c r="G679" s="63"/>
      <c r="H679" s="63"/>
      <c r="I679" s="63"/>
    </row>
    <row r="680" spans="6:9">
      <c r="F680" s="63"/>
      <c r="G680" s="63"/>
      <c r="H680" s="63"/>
      <c r="I680" s="63"/>
    </row>
    <row r="681" spans="6:9">
      <c r="F681" s="63"/>
      <c r="G681" s="63"/>
      <c r="H681" s="63"/>
      <c r="I681" s="63"/>
    </row>
    <row r="682" spans="6:9">
      <c r="F682" s="63"/>
      <c r="G682" s="63"/>
      <c r="H682" s="63"/>
      <c r="I682" s="63"/>
    </row>
    <row r="683" spans="6:9">
      <c r="F683" s="63"/>
      <c r="G683" s="63"/>
      <c r="H683" s="63"/>
      <c r="I683" s="63"/>
    </row>
    <row r="684" spans="6:9">
      <c r="F684" s="63"/>
      <c r="G684" s="63"/>
      <c r="H684" s="63"/>
      <c r="I684" s="63"/>
    </row>
    <row r="685" spans="6:9">
      <c r="F685" s="63"/>
      <c r="G685" s="63"/>
      <c r="H685" s="63"/>
      <c r="I685" s="63"/>
    </row>
    <row r="686" spans="6:9">
      <c r="F686" s="63"/>
      <c r="G686" s="63"/>
      <c r="H686" s="63"/>
      <c r="I686" s="63"/>
    </row>
    <row r="687" spans="6:9">
      <c r="F687" s="63"/>
      <c r="G687" s="63"/>
      <c r="H687" s="63"/>
      <c r="I687" s="63"/>
    </row>
    <row r="688" spans="6:9">
      <c r="F688" s="63"/>
      <c r="G688" s="63"/>
      <c r="H688" s="63"/>
      <c r="I688" s="63"/>
    </row>
    <row r="689" spans="6:9">
      <c r="F689" s="63"/>
      <c r="G689" s="63"/>
      <c r="H689" s="63"/>
      <c r="I689" s="63"/>
    </row>
    <row r="690" spans="6:9">
      <c r="F690" s="63"/>
      <c r="G690" s="63"/>
      <c r="H690" s="63"/>
      <c r="I690" s="63"/>
    </row>
    <row r="691" spans="6:9">
      <c r="F691" s="63"/>
      <c r="G691" s="63"/>
      <c r="H691" s="63"/>
      <c r="I691" s="63"/>
    </row>
    <row r="692" spans="6:9">
      <c r="F692" s="63"/>
      <c r="G692" s="63"/>
      <c r="H692" s="63"/>
      <c r="I692" s="63"/>
    </row>
    <row r="693" spans="6:9">
      <c r="F693" s="63"/>
      <c r="G693" s="63"/>
      <c r="H693" s="63"/>
      <c r="I693" s="63"/>
    </row>
    <row r="694" spans="6:9">
      <c r="F694" s="63"/>
      <c r="G694" s="63"/>
      <c r="H694" s="63"/>
      <c r="I694" s="63"/>
    </row>
    <row r="695" spans="6:9">
      <c r="F695" s="63"/>
      <c r="G695" s="63"/>
      <c r="H695" s="63"/>
      <c r="I695" s="63"/>
    </row>
    <row r="696" spans="6:9">
      <c r="F696" s="63"/>
      <c r="G696" s="63"/>
      <c r="H696" s="63"/>
      <c r="I696" s="63"/>
    </row>
    <row r="697" spans="6:9">
      <c r="F697" s="63"/>
      <c r="G697" s="63"/>
      <c r="H697" s="63"/>
      <c r="I697" s="63"/>
    </row>
    <row r="698" spans="6:9">
      <c r="F698" s="63"/>
      <c r="G698" s="63"/>
      <c r="H698" s="63"/>
      <c r="I698" s="63"/>
    </row>
    <row r="699" spans="6:9">
      <c r="F699" s="63"/>
      <c r="G699" s="63"/>
      <c r="H699" s="63"/>
      <c r="I699" s="63"/>
    </row>
    <row r="700" spans="6:9">
      <c r="F700" s="63"/>
      <c r="G700" s="63"/>
      <c r="H700" s="63"/>
      <c r="I700" s="63"/>
    </row>
    <row r="701" spans="6:9">
      <c r="F701" s="63"/>
      <c r="G701" s="63"/>
      <c r="H701" s="63"/>
      <c r="I701" s="63"/>
    </row>
    <row r="702" spans="6:9">
      <c r="F702" s="63"/>
      <c r="G702" s="63"/>
      <c r="H702" s="63"/>
      <c r="I702" s="63"/>
    </row>
    <row r="703" spans="6:9">
      <c r="F703" s="63"/>
      <c r="G703" s="63"/>
      <c r="H703" s="63"/>
      <c r="I703" s="63"/>
    </row>
    <row r="704" spans="6:9">
      <c r="F704" s="63"/>
      <c r="G704" s="63"/>
      <c r="H704" s="63"/>
      <c r="I704" s="63"/>
    </row>
    <row r="705" spans="6:9">
      <c r="F705" s="63"/>
      <c r="G705" s="63"/>
      <c r="H705" s="63"/>
      <c r="I705" s="63"/>
    </row>
    <row r="706" spans="6:9">
      <c r="F706" s="63"/>
      <c r="G706" s="63"/>
      <c r="H706" s="63"/>
      <c r="I706" s="63"/>
    </row>
    <row r="707" spans="6:9">
      <c r="F707" s="63"/>
      <c r="G707" s="63"/>
      <c r="H707" s="63"/>
      <c r="I707" s="63"/>
    </row>
    <row r="708" spans="6:9">
      <c r="F708" s="63"/>
      <c r="G708" s="63"/>
      <c r="H708" s="63"/>
      <c r="I708" s="63"/>
    </row>
    <row r="709" spans="6:9">
      <c r="F709" s="63"/>
      <c r="G709" s="63"/>
      <c r="H709" s="63"/>
      <c r="I709" s="63"/>
    </row>
    <row r="710" spans="6:9">
      <c r="F710" s="63"/>
      <c r="G710" s="63"/>
      <c r="H710" s="63"/>
      <c r="I710" s="63"/>
    </row>
    <row r="711" spans="6:9">
      <c r="F711" s="63"/>
      <c r="G711" s="63"/>
      <c r="H711" s="63"/>
      <c r="I711" s="63"/>
    </row>
    <row r="712" spans="6:9">
      <c r="F712" s="63"/>
      <c r="G712" s="63"/>
      <c r="H712" s="63"/>
      <c r="I712" s="63"/>
    </row>
    <row r="713" spans="6:9">
      <c r="F713" s="63"/>
      <c r="G713" s="63"/>
      <c r="H713" s="63"/>
      <c r="I713" s="63"/>
    </row>
    <row r="714" spans="6:9">
      <c r="F714" s="63"/>
      <c r="G714" s="63"/>
      <c r="H714" s="63"/>
      <c r="I714" s="63"/>
    </row>
    <row r="715" spans="6:9">
      <c r="F715" s="63"/>
      <c r="G715" s="63"/>
      <c r="H715" s="63"/>
      <c r="I715" s="63"/>
    </row>
    <row r="716" spans="6:9">
      <c r="F716" s="63"/>
      <c r="G716" s="63"/>
      <c r="H716" s="63"/>
      <c r="I716" s="63"/>
    </row>
    <row r="717" spans="6:9">
      <c r="F717" s="63"/>
      <c r="G717" s="63"/>
      <c r="H717" s="63"/>
      <c r="I717" s="63"/>
    </row>
    <row r="718" spans="6:9">
      <c r="F718" s="63"/>
      <c r="G718" s="63"/>
      <c r="H718" s="63"/>
      <c r="I718" s="63"/>
    </row>
    <row r="719" spans="6:9">
      <c r="F719" s="63"/>
      <c r="G719" s="63"/>
      <c r="H719" s="63"/>
      <c r="I719" s="63"/>
    </row>
    <row r="720" spans="6:9">
      <c r="F720" s="63"/>
      <c r="G720" s="63"/>
      <c r="H720" s="63"/>
      <c r="I720" s="63"/>
    </row>
    <row r="721" spans="6:9">
      <c r="F721" s="63"/>
      <c r="G721" s="63"/>
      <c r="H721" s="63"/>
      <c r="I721" s="63"/>
    </row>
    <row r="722" spans="6:9">
      <c r="F722" s="63"/>
      <c r="G722" s="63"/>
      <c r="H722" s="63"/>
      <c r="I722" s="63"/>
    </row>
    <row r="723" spans="6:9">
      <c r="F723" s="63"/>
      <c r="G723" s="63"/>
      <c r="H723" s="63"/>
      <c r="I723" s="63"/>
    </row>
    <row r="724" spans="6:9">
      <c r="F724" s="63"/>
      <c r="G724" s="63"/>
      <c r="H724" s="63"/>
      <c r="I724" s="63"/>
    </row>
    <row r="725" spans="6:9">
      <c r="F725" s="63"/>
      <c r="G725" s="63"/>
      <c r="H725" s="63"/>
      <c r="I725" s="63"/>
    </row>
    <row r="726" spans="6:9">
      <c r="F726" s="63"/>
      <c r="G726" s="63"/>
      <c r="H726" s="63"/>
      <c r="I726" s="63"/>
    </row>
    <row r="727" spans="6:9">
      <c r="F727" s="63"/>
      <c r="G727" s="63"/>
      <c r="H727" s="63"/>
      <c r="I727" s="63"/>
    </row>
    <row r="728" spans="6:9">
      <c r="F728" s="63"/>
      <c r="G728" s="63"/>
      <c r="H728" s="63"/>
      <c r="I728" s="63"/>
    </row>
    <row r="729" spans="6:9">
      <c r="F729" s="63"/>
      <c r="G729" s="63"/>
      <c r="H729" s="63"/>
      <c r="I729" s="63"/>
    </row>
    <row r="730" spans="6:9">
      <c r="F730" s="63"/>
      <c r="G730" s="63"/>
      <c r="H730" s="63"/>
      <c r="I730" s="63"/>
    </row>
    <row r="731" spans="6:9">
      <c r="F731" s="63"/>
      <c r="G731" s="63"/>
      <c r="H731" s="63"/>
      <c r="I731" s="63"/>
    </row>
    <row r="732" spans="6:9">
      <c r="F732" s="63"/>
      <c r="G732" s="63"/>
      <c r="H732" s="63"/>
      <c r="I732" s="63"/>
    </row>
    <row r="733" spans="6:9">
      <c r="F733" s="63"/>
      <c r="G733" s="63"/>
      <c r="H733" s="63"/>
      <c r="I733" s="63"/>
    </row>
    <row r="734" spans="6:9">
      <c r="F734" s="63"/>
      <c r="G734" s="63"/>
      <c r="H734" s="63"/>
      <c r="I734" s="63"/>
    </row>
    <row r="735" spans="6:9">
      <c r="F735" s="63"/>
      <c r="G735" s="63"/>
      <c r="H735" s="63"/>
      <c r="I735" s="63"/>
    </row>
    <row r="736" spans="6:9">
      <c r="F736" s="63"/>
      <c r="G736" s="63"/>
      <c r="H736" s="63"/>
      <c r="I736" s="63"/>
    </row>
    <row r="737" spans="6:9">
      <c r="F737" s="63"/>
      <c r="G737" s="63"/>
      <c r="H737" s="63"/>
      <c r="I737" s="63"/>
    </row>
    <row r="738" spans="6:9">
      <c r="F738" s="63"/>
      <c r="G738" s="63"/>
      <c r="H738" s="63"/>
      <c r="I738" s="63"/>
    </row>
    <row r="739" spans="6:9">
      <c r="F739" s="63"/>
      <c r="G739" s="63"/>
      <c r="H739" s="63"/>
      <c r="I739" s="63"/>
    </row>
    <row r="740" spans="6:9">
      <c r="F740" s="63"/>
      <c r="G740" s="63"/>
      <c r="H740" s="63"/>
      <c r="I740" s="63"/>
    </row>
    <row r="741" spans="6:9">
      <c r="F741" s="63"/>
      <c r="G741" s="63"/>
      <c r="H741" s="63"/>
      <c r="I741" s="63"/>
    </row>
    <row r="742" spans="6:9">
      <c r="F742" s="63"/>
      <c r="G742" s="63"/>
      <c r="H742" s="63"/>
      <c r="I742" s="63"/>
    </row>
    <row r="743" spans="6:9">
      <c r="F743" s="63"/>
      <c r="G743" s="63"/>
      <c r="H743" s="63"/>
      <c r="I743" s="63"/>
    </row>
    <row r="744" spans="6:9">
      <c r="F744" s="63"/>
      <c r="G744" s="63"/>
      <c r="H744" s="63"/>
      <c r="I744" s="63"/>
    </row>
    <row r="745" spans="6:9">
      <c r="F745" s="63"/>
      <c r="G745" s="63"/>
      <c r="H745" s="63"/>
      <c r="I745" s="63"/>
    </row>
    <row r="746" spans="6:9">
      <c r="F746" s="63"/>
      <c r="G746" s="63"/>
      <c r="H746" s="63"/>
      <c r="I746" s="63"/>
    </row>
    <row r="747" spans="6:9">
      <c r="F747" s="63"/>
      <c r="G747" s="63"/>
      <c r="H747" s="63"/>
      <c r="I747" s="63"/>
    </row>
    <row r="748" spans="6:9">
      <c r="F748" s="63"/>
      <c r="G748" s="63"/>
      <c r="H748" s="63"/>
      <c r="I748" s="63"/>
    </row>
    <row r="749" spans="6:9">
      <c r="F749" s="63"/>
      <c r="G749" s="63"/>
      <c r="H749" s="63"/>
      <c r="I749" s="63"/>
    </row>
    <row r="750" spans="6:9">
      <c r="F750" s="63"/>
      <c r="G750" s="63"/>
      <c r="H750" s="63"/>
      <c r="I750" s="63"/>
    </row>
    <row r="751" spans="6:9">
      <c r="F751" s="63"/>
      <c r="G751" s="63"/>
      <c r="H751" s="63"/>
      <c r="I751" s="63"/>
    </row>
    <row r="752" spans="6:9">
      <c r="F752" s="63"/>
      <c r="G752" s="63"/>
      <c r="H752" s="63"/>
      <c r="I752" s="63"/>
    </row>
    <row r="753" spans="6:9">
      <c r="F753" s="63"/>
      <c r="G753" s="63"/>
      <c r="H753" s="63"/>
      <c r="I753" s="63"/>
    </row>
    <row r="754" spans="6:9">
      <c r="F754" s="63"/>
      <c r="G754" s="63"/>
      <c r="H754" s="63"/>
      <c r="I754" s="63"/>
    </row>
    <row r="755" spans="6:9">
      <c r="F755" s="63"/>
      <c r="G755" s="63"/>
      <c r="H755" s="63"/>
      <c r="I755" s="63"/>
    </row>
    <row r="756" spans="6:9">
      <c r="F756" s="63"/>
      <c r="G756" s="63"/>
      <c r="H756" s="63"/>
      <c r="I756" s="63"/>
    </row>
    <row r="757" spans="6:9">
      <c r="F757" s="63"/>
      <c r="G757" s="63"/>
      <c r="H757" s="63"/>
      <c r="I757" s="63"/>
    </row>
    <row r="758" spans="6:9">
      <c r="F758" s="63"/>
      <c r="G758" s="63"/>
      <c r="H758" s="63"/>
      <c r="I758" s="63"/>
    </row>
    <row r="759" spans="6:9">
      <c r="F759" s="63"/>
      <c r="G759" s="63"/>
      <c r="H759" s="63"/>
      <c r="I759" s="63"/>
    </row>
    <row r="760" spans="6:9">
      <c r="F760" s="63"/>
      <c r="G760" s="63"/>
      <c r="H760" s="63"/>
      <c r="I760" s="63"/>
    </row>
    <row r="761" spans="6:9">
      <c r="F761" s="63"/>
      <c r="G761" s="63"/>
      <c r="H761" s="63"/>
      <c r="I761" s="63"/>
    </row>
    <row r="762" spans="6:9">
      <c r="F762" s="63"/>
      <c r="G762" s="63"/>
      <c r="H762" s="63"/>
      <c r="I762" s="63"/>
    </row>
    <row r="763" spans="6:9">
      <c r="F763" s="63"/>
      <c r="G763" s="63"/>
      <c r="H763" s="63"/>
      <c r="I763" s="63"/>
    </row>
    <row r="764" spans="6:9">
      <c r="F764" s="63"/>
      <c r="G764" s="63"/>
      <c r="H764" s="63"/>
      <c r="I764" s="63"/>
    </row>
    <row r="765" spans="6:9">
      <c r="F765" s="63"/>
      <c r="G765" s="63"/>
      <c r="H765" s="63"/>
      <c r="I765" s="63"/>
    </row>
    <row r="766" spans="6:9">
      <c r="F766" s="63"/>
      <c r="G766" s="63"/>
      <c r="H766" s="63"/>
      <c r="I766" s="63"/>
    </row>
    <row r="767" spans="6:9">
      <c r="F767" s="63"/>
      <c r="G767" s="63"/>
      <c r="H767" s="63"/>
      <c r="I767" s="63"/>
    </row>
    <row r="768" spans="6:9">
      <c r="F768" s="63"/>
      <c r="G768" s="63"/>
      <c r="H768" s="63"/>
      <c r="I768" s="63"/>
    </row>
    <row r="769" spans="6:9">
      <c r="F769" s="63"/>
      <c r="G769" s="63"/>
      <c r="H769" s="63"/>
      <c r="I769" s="63"/>
    </row>
    <row r="770" spans="6:9">
      <c r="F770" s="63"/>
      <c r="G770" s="63"/>
      <c r="H770" s="63"/>
      <c r="I770" s="63"/>
    </row>
    <row r="771" spans="6:9">
      <c r="F771" s="63"/>
      <c r="G771" s="63"/>
      <c r="H771" s="63"/>
      <c r="I771" s="63"/>
    </row>
    <row r="772" spans="6:9">
      <c r="F772" s="63"/>
      <c r="G772" s="63"/>
      <c r="H772" s="63"/>
      <c r="I772" s="63"/>
    </row>
    <row r="773" spans="6:9">
      <c r="F773" s="63"/>
      <c r="G773" s="63"/>
      <c r="H773" s="63"/>
      <c r="I773" s="63"/>
    </row>
    <row r="774" spans="6:9">
      <c r="F774" s="63"/>
      <c r="G774" s="63"/>
      <c r="H774" s="63"/>
      <c r="I774" s="63"/>
    </row>
    <row r="775" spans="6:9">
      <c r="F775" s="63"/>
      <c r="G775" s="63"/>
      <c r="H775" s="63"/>
      <c r="I775" s="63"/>
    </row>
    <row r="776" spans="6:9">
      <c r="F776" s="63"/>
      <c r="G776" s="63"/>
      <c r="H776" s="63"/>
      <c r="I776" s="63"/>
    </row>
    <row r="777" spans="6:9">
      <c r="F777" s="63"/>
      <c r="G777" s="63"/>
      <c r="H777" s="63"/>
      <c r="I777" s="63"/>
    </row>
    <row r="778" spans="6:9">
      <c r="F778" s="63"/>
      <c r="G778" s="63"/>
      <c r="H778" s="63"/>
      <c r="I778" s="63"/>
    </row>
    <row r="779" spans="6:9">
      <c r="F779" s="63"/>
      <c r="G779" s="63"/>
      <c r="H779" s="63"/>
      <c r="I779" s="63"/>
    </row>
    <row r="780" spans="6:9">
      <c r="F780" s="63"/>
      <c r="G780" s="63"/>
      <c r="H780" s="63"/>
      <c r="I780" s="63"/>
    </row>
    <row r="781" spans="6:9">
      <c r="F781" s="63"/>
      <c r="G781" s="63"/>
      <c r="H781" s="63"/>
      <c r="I781" s="63"/>
    </row>
    <row r="782" spans="6:9">
      <c r="F782" s="63"/>
      <c r="G782" s="63"/>
      <c r="H782" s="63"/>
      <c r="I782" s="63"/>
    </row>
    <row r="783" spans="6:9">
      <c r="F783" s="63"/>
      <c r="G783" s="63"/>
      <c r="H783" s="63"/>
      <c r="I783" s="63"/>
    </row>
    <row r="784" spans="6:9">
      <c r="F784" s="63"/>
      <c r="G784" s="63"/>
      <c r="H784" s="63"/>
      <c r="I784" s="63"/>
    </row>
    <row r="785" spans="6:9">
      <c r="F785" s="63"/>
      <c r="G785" s="63"/>
      <c r="H785" s="63"/>
      <c r="I785" s="63"/>
    </row>
    <row r="786" spans="6:9">
      <c r="F786" s="63"/>
      <c r="G786" s="63"/>
      <c r="H786" s="63"/>
      <c r="I786" s="63"/>
    </row>
    <row r="787" spans="6:9">
      <c r="F787" s="63"/>
      <c r="G787" s="63"/>
      <c r="H787" s="63"/>
      <c r="I787" s="63"/>
    </row>
    <row r="788" spans="6:9">
      <c r="F788" s="63"/>
      <c r="G788" s="63"/>
      <c r="H788" s="63"/>
      <c r="I788" s="63"/>
    </row>
    <row r="789" spans="6:9">
      <c r="F789" s="63"/>
      <c r="G789" s="63"/>
      <c r="H789" s="63"/>
      <c r="I789" s="63"/>
    </row>
    <row r="790" spans="6:9">
      <c r="F790" s="63"/>
      <c r="G790" s="63"/>
      <c r="H790" s="63"/>
      <c r="I790" s="63"/>
    </row>
    <row r="791" spans="6:9">
      <c r="F791" s="63"/>
      <c r="G791" s="63"/>
      <c r="H791" s="63"/>
      <c r="I791" s="63"/>
    </row>
    <row r="792" spans="6:9">
      <c r="F792" s="63"/>
      <c r="G792" s="63"/>
      <c r="H792" s="63"/>
      <c r="I792" s="63"/>
    </row>
    <row r="793" spans="6:9">
      <c r="F793" s="63"/>
      <c r="G793" s="63"/>
      <c r="H793" s="63"/>
      <c r="I793" s="63"/>
    </row>
    <row r="794" spans="6:9">
      <c r="F794" s="63"/>
      <c r="G794" s="63"/>
      <c r="H794" s="63"/>
      <c r="I794" s="63"/>
    </row>
    <row r="795" spans="6:9">
      <c r="F795" s="63"/>
      <c r="G795" s="63"/>
      <c r="H795" s="63"/>
      <c r="I795" s="63"/>
    </row>
    <row r="796" spans="6:9">
      <c r="F796" s="63"/>
      <c r="G796" s="63"/>
      <c r="H796" s="63"/>
      <c r="I796" s="63"/>
    </row>
    <row r="797" spans="6:9">
      <c r="F797" s="63"/>
      <c r="G797" s="63"/>
      <c r="H797" s="63"/>
      <c r="I797" s="63"/>
    </row>
    <row r="798" spans="6:9">
      <c r="F798" s="63"/>
      <c r="G798" s="63"/>
      <c r="H798" s="63"/>
      <c r="I798" s="63"/>
    </row>
    <row r="799" spans="6:9">
      <c r="F799" s="63"/>
      <c r="G799" s="63"/>
      <c r="H799" s="63"/>
      <c r="I799" s="63"/>
    </row>
    <row r="800" spans="6:9">
      <c r="F800" s="63"/>
      <c r="G800" s="63"/>
      <c r="H800" s="63"/>
      <c r="I800" s="63"/>
    </row>
    <row r="801" spans="6:9">
      <c r="F801" s="63"/>
      <c r="G801" s="63"/>
      <c r="H801" s="63"/>
      <c r="I801" s="63"/>
    </row>
    <row r="802" spans="6:9">
      <c r="F802" s="63"/>
      <c r="G802" s="63"/>
      <c r="H802" s="63"/>
      <c r="I802" s="63"/>
    </row>
    <row r="803" spans="6:9">
      <c r="F803" s="63"/>
      <c r="G803" s="63"/>
      <c r="H803" s="63"/>
      <c r="I803" s="63"/>
    </row>
    <row r="804" spans="6:9">
      <c r="F804" s="63"/>
      <c r="G804" s="63"/>
      <c r="H804" s="63"/>
      <c r="I804" s="63"/>
    </row>
    <row r="805" spans="6:9">
      <c r="F805" s="63"/>
      <c r="G805" s="63"/>
      <c r="H805" s="63"/>
      <c r="I805" s="63"/>
    </row>
    <row r="806" spans="6:9">
      <c r="F806" s="63"/>
      <c r="G806" s="63"/>
      <c r="H806" s="63"/>
      <c r="I806" s="63"/>
    </row>
    <row r="807" spans="6:9">
      <c r="F807" s="63"/>
      <c r="G807" s="63"/>
      <c r="H807" s="63"/>
      <c r="I807" s="63"/>
    </row>
    <row r="808" spans="6:9">
      <c r="F808" s="63"/>
      <c r="G808" s="63"/>
      <c r="H808" s="63"/>
      <c r="I808" s="63"/>
    </row>
    <row r="809" spans="6:9">
      <c r="F809" s="63"/>
      <c r="G809" s="63"/>
      <c r="H809" s="63"/>
      <c r="I809" s="63"/>
    </row>
    <row r="810" spans="6:9">
      <c r="F810" s="63"/>
      <c r="G810" s="63"/>
      <c r="H810" s="63"/>
      <c r="I810" s="63"/>
    </row>
    <row r="811" spans="6:9">
      <c r="F811" s="63"/>
      <c r="G811" s="63"/>
      <c r="H811" s="63"/>
      <c r="I811" s="63"/>
    </row>
    <row r="812" spans="6:9">
      <c r="F812" s="63"/>
      <c r="G812" s="63"/>
      <c r="H812" s="63"/>
      <c r="I812" s="63"/>
    </row>
    <row r="813" spans="6:9">
      <c r="F813" s="63"/>
      <c r="G813" s="63"/>
      <c r="H813" s="63"/>
      <c r="I813" s="63"/>
    </row>
    <row r="814" spans="6:9">
      <c r="F814" s="63"/>
      <c r="G814" s="63"/>
      <c r="H814" s="63"/>
      <c r="I814" s="63"/>
    </row>
    <row r="815" spans="6:9">
      <c r="F815" s="63"/>
      <c r="G815" s="63"/>
      <c r="H815" s="63"/>
      <c r="I815" s="63"/>
    </row>
    <row r="816" spans="6:9">
      <c r="F816" s="63"/>
      <c r="G816" s="63"/>
      <c r="H816" s="63"/>
      <c r="I816" s="63"/>
    </row>
    <row r="817" spans="6:9">
      <c r="F817" s="63"/>
      <c r="G817" s="63"/>
      <c r="H817" s="63"/>
      <c r="I817" s="63"/>
    </row>
    <row r="818" spans="6:9">
      <c r="F818" s="63"/>
      <c r="G818" s="63"/>
      <c r="H818" s="63"/>
      <c r="I818" s="63"/>
    </row>
    <row r="819" spans="6:9">
      <c r="F819" s="63"/>
      <c r="G819" s="63"/>
      <c r="H819" s="63"/>
      <c r="I819" s="63"/>
    </row>
    <row r="820" spans="6:9">
      <c r="F820" s="63"/>
      <c r="G820" s="63"/>
      <c r="H820" s="63"/>
      <c r="I820" s="63"/>
    </row>
    <row r="821" spans="6:9">
      <c r="F821" s="63"/>
      <c r="G821" s="63"/>
      <c r="H821" s="63"/>
      <c r="I821" s="63"/>
    </row>
    <row r="822" spans="6:9">
      <c r="F822" s="63"/>
      <c r="G822" s="63"/>
      <c r="H822" s="63"/>
      <c r="I822" s="63"/>
    </row>
    <row r="823" spans="6:9">
      <c r="F823" s="63"/>
      <c r="G823" s="63"/>
      <c r="H823" s="63"/>
      <c r="I823" s="63"/>
    </row>
    <row r="824" spans="6:9">
      <c r="F824" s="63"/>
      <c r="G824" s="63"/>
      <c r="H824" s="63"/>
      <c r="I824" s="63"/>
    </row>
    <row r="825" spans="6:9">
      <c r="F825" s="63"/>
      <c r="G825" s="63"/>
      <c r="H825" s="63"/>
      <c r="I825" s="63"/>
    </row>
    <row r="826" spans="6:9">
      <c r="F826" s="63"/>
      <c r="G826" s="63"/>
      <c r="H826" s="63"/>
      <c r="I826" s="63"/>
    </row>
    <row r="827" spans="6:9">
      <c r="F827" s="63"/>
      <c r="G827" s="63"/>
      <c r="H827" s="63"/>
      <c r="I827" s="63"/>
    </row>
    <row r="828" spans="6:9">
      <c r="F828" s="63"/>
      <c r="G828" s="63"/>
      <c r="H828" s="63"/>
      <c r="I828" s="63"/>
    </row>
    <row r="829" spans="6:9">
      <c r="F829" s="63"/>
      <c r="G829" s="63"/>
      <c r="H829" s="63"/>
      <c r="I829" s="63"/>
    </row>
    <row r="830" spans="6:9">
      <c r="F830" s="63"/>
      <c r="G830" s="63"/>
      <c r="H830" s="63"/>
      <c r="I830" s="63"/>
    </row>
    <row r="831" spans="6:9">
      <c r="F831" s="63"/>
      <c r="G831" s="63"/>
      <c r="H831" s="63"/>
      <c r="I831" s="63"/>
    </row>
    <row r="832" spans="6:9">
      <c r="F832" s="63"/>
      <c r="G832" s="63"/>
      <c r="H832" s="63"/>
      <c r="I832" s="63"/>
    </row>
    <row r="833" spans="6:9">
      <c r="F833" s="63"/>
      <c r="G833" s="63"/>
      <c r="H833" s="63"/>
      <c r="I833" s="63"/>
    </row>
    <row r="834" spans="6:9">
      <c r="F834" s="63"/>
      <c r="G834" s="63"/>
      <c r="H834" s="63"/>
      <c r="I834" s="63"/>
    </row>
    <row r="835" spans="6:9">
      <c r="F835" s="63"/>
      <c r="G835" s="63"/>
      <c r="H835" s="63"/>
      <c r="I835" s="63"/>
    </row>
    <row r="836" spans="6:9">
      <c r="F836" s="63"/>
      <c r="G836" s="63"/>
      <c r="H836" s="63"/>
      <c r="I836" s="63"/>
    </row>
    <row r="837" spans="6:9">
      <c r="F837" s="63"/>
      <c r="G837" s="63"/>
      <c r="H837" s="63"/>
      <c r="I837" s="63"/>
    </row>
    <row r="838" spans="6:9">
      <c r="F838" s="63"/>
      <c r="G838" s="63"/>
      <c r="H838" s="63"/>
      <c r="I838" s="63"/>
    </row>
    <row r="839" spans="6:9">
      <c r="F839" s="63"/>
      <c r="G839" s="63"/>
      <c r="H839" s="63"/>
      <c r="I839" s="63"/>
    </row>
    <row r="840" spans="6:9">
      <c r="F840" s="63"/>
      <c r="G840" s="63"/>
      <c r="H840" s="63"/>
      <c r="I840" s="63"/>
    </row>
    <row r="841" spans="6:9">
      <c r="F841" s="63"/>
      <c r="G841" s="63"/>
      <c r="H841" s="63"/>
      <c r="I841" s="63"/>
    </row>
    <row r="842" spans="6:9">
      <c r="F842" s="63"/>
      <c r="G842" s="63"/>
      <c r="H842" s="63"/>
      <c r="I842" s="63"/>
    </row>
    <row r="843" spans="6:9">
      <c r="F843" s="63"/>
      <c r="G843" s="63"/>
      <c r="H843" s="63"/>
      <c r="I843" s="63"/>
    </row>
    <row r="844" spans="6:9">
      <c r="F844" s="63"/>
      <c r="G844" s="63"/>
      <c r="H844" s="63"/>
      <c r="I844" s="63"/>
    </row>
    <row r="845" spans="6:9">
      <c r="F845" s="63"/>
      <c r="G845" s="63"/>
      <c r="H845" s="63"/>
      <c r="I845" s="63"/>
    </row>
    <row r="846" spans="6:9">
      <c r="F846" s="63"/>
      <c r="G846" s="63"/>
      <c r="H846" s="63"/>
      <c r="I846" s="63"/>
    </row>
    <row r="847" spans="6:9">
      <c r="F847" s="63"/>
      <c r="G847" s="63"/>
      <c r="H847" s="63"/>
      <c r="I847" s="63"/>
    </row>
    <row r="848" spans="6:9">
      <c r="F848" s="63"/>
      <c r="G848" s="63"/>
      <c r="H848" s="63"/>
      <c r="I848" s="63"/>
    </row>
    <row r="849" spans="6:9">
      <c r="F849" s="63"/>
      <c r="G849" s="63"/>
      <c r="H849" s="63"/>
      <c r="I849" s="63"/>
    </row>
    <row r="850" spans="6:9">
      <c r="F850" s="63"/>
      <c r="G850" s="63"/>
      <c r="H850" s="63"/>
      <c r="I850" s="63"/>
    </row>
    <row r="851" spans="6:9">
      <c r="F851" s="63"/>
      <c r="G851" s="63"/>
      <c r="H851" s="63"/>
      <c r="I851" s="63"/>
    </row>
    <row r="852" spans="6:9">
      <c r="F852" s="63"/>
      <c r="G852" s="63"/>
      <c r="H852" s="63"/>
      <c r="I852" s="63"/>
    </row>
    <row r="853" spans="6:9">
      <c r="F853" s="63"/>
      <c r="G853" s="63"/>
      <c r="H853" s="63"/>
      <c r="I853" s="63"/>
    </row>
    <row r="854" spans="6:9">
      <c r="F854" s="63"/>
      <c r="G854" s="63"/>
      <c r="H854" s="63"/>
      <c r="I854" s="63"/>
    </row>
    <row r="855" spans="6:9">
      <c r="F855" s="63"/>
      <c r="G855" s="63"/>
      <c r="H855" s="63"/>
      <c r="I855" s="63"/>
    </row>
    <row r="856" spans="6:9">
      <c r="F856" s="63"/>
      <c r="G856" s="63"/>
      <c r="H856" s="63"/>
      <c r="I856" s="63"/>
    </row>
    <row r="857" spans="6:9">
      <c r="F857" s="63"/>
      <c r="G857" s="63"/>
      <c r="H857" s="63"/>
      <c r="I857" s="63"/>
    </row>
    <row r="858" spans="6:9">
      <c r="F858" s="63"/>
      <c r="G858" s="63"/>
      <c r="H858" s="63"/>
      <c r="I858" s="63"/>
    </row>
    <row r="859" spans="6:9">
      <c r="F859" s="63"/>
      <c r="G859" s="63"/>
      <c r="H859" s="63"/>
      <c r="I859" s="63"/>
    </row>
    <row r="860" spans="6:9">
      <c r="F860" s="63"/>
      <c r="G860" s="63"/>
      <c r="H860" s="63"/>
      <c r="I860" s="63"/>
    </row>
    <row r="861" spans="6:9">
      <c r="F861" s="63"/>
      <c r="G861" s="63"/>
      <c r="H861" s="63"/>
      <c r="I861" s="63"/>
    </row>
    <row r="862" spans="6:9">
      <c r="F862" s="63"/>
      <c r="G862" s="63"/>
      <c r="H862" s="63"/>
      <c r="I862" s="63"/>
    </row>
    <row r="863" spans="6:9">
      <c r="F863" s="63"/>
      <c r="G863" s="63"/>
      <c r="H863" s="63"/>
      <c r="I863" s="63"/>
    </row>
    <row r="864" spans="6:9">
      <c r="F864" s="63"/>
      <c r="G864" s="63"/>
      <c r="H864" s="63"/>
      <c r="I864" s="63"/>
    </row>
    <row r="865" spans="6:9">
      <c r="F865" s="63"/>
      <c r="G865" s="63"/>
      <c r="H865" s="63"/>
      <c r="I865" s="63"/>
    </row>
    <row r="866" spans="6:9">
      <c r="F866" s="63"/>
      <c r="G866" s="63"/>
      <c r="H866" s="63"/>
      <c r="I866" s="63"/>
    </row>
    <row r="867" spans="6:9">
      <c r="F867" s="63"/>
      <c r="G867" s="63"/>
      <c r="H867" s="63"/>
      <c r="I867" s="63"/>
    </row>
    <row r="868" spans="6:9">
      <c r="F868" s="63"/>
      <c r="G868" s="63"/>
      <c r="H868" s="63"/>
      <c r="I868" s="63"/>
    </row>
    <row r="869" spans="6:9">
      <c r="F869" s="63"/>
      <c r="G869" s="63"/>
      <c r="H869" s="63"/>
      <c r="I869" s="63"/>
    </row>
    <row r="870" spans="6:9">
      <c r="F870" s="63"/>
      <c r="G870" s="63"/>
      <c r="H870" s="63"/>
      <c r="I870" s="63"/>
    </row>
    <row r="871" spans="6:9">
      <c r="F871" s="63"/>
      <c r="G871" s="63"/>
      <c r="H871" s="63"/>
      <c r="I871" s="63"/>
    </row>
    <row r="872" spans="6:9">
      <c r="F872" s="63"/>
      <c r="G872" s="63"/>
      <c r="H872" s="63"/>
      <c r="I872" s="63"/>
    </row>
    <row r="873" spans="6:9">
      <c r="F873" s="63"/>
      <c r="G873" s="63"/>
      <c r="H873" s="63"/>
      <c r="I873" s="63"/>
    </row>
    <row r="874" spans="6:9">
      <c r="F874" s="63"/>
      <c r="G874" s="63"/>
      <c r="H874" s="63"/>
      <c r="I874" s="63"/>
    </row>
    <row r="875" spans="6:9">
      <c r="F875" s="63"/>
      <c r="G875" s="63"/>
      <c r="H875" s="63"/>
      <c r="I875" s="63"/>
    </row>
    <row r="876" spans="6:9">
      <c r="F876" s="63"/>
      <c r="G876" s="63"/>
      <c r="H876" s="63"/>
      <c r="I876" s="63"/>
    </row>
    <row r="877" spans="6:9">
      <c r="F877" s="63"/>
      <c r="G877" s="63"/>
      <c r="H877" s="63"/>
      <c r="I877" s="63"/>
    </row>
    <row r="878" spans="6:9">
      <c r="F878" s="63"/>
      <c r="G878" s="63"/>
      <c r="H878" s="63"/>
      <c r="I878" s="63"/>
    </row>
    <row r="879" spans="6:9">
      <c r="F879" s="63"/>
      <c r="G879" s="63"/>
      <c r="H879" s="63"/>
      <c r="I879" s="63"/>
    </row>
    <row r="880" spans="6:9">
      <c r="F880" s="63"/>
      <c r="G880" s="63"/>
      <c r="H880" s="63"/>
      <c r="I880" s="63"/>
    </row>
    <row r="881" spans="6:9">
      <c r="F881" s="63"/>
      <c r="G881" s="63"/>
      <c r="H881" s="63"/>
      <c r="I881" s="63"/>
    </row>
    <row r="882" spans="6:9">
      <c r="F882" s="63"/>
      <c r="G882" s="63"/>
      <c r="H882" s="63"/>
      <c r="I882" s="63"/>
    </row>
    <row r="883" spans="6:9">
      <c r="F883" s="63"/>
      <c r="G883" s="63"/>
      <c r="H883" s="63"/>
      <c r="I883" s="63"/>
    </row>
    <row r="884" spans="6:9">
      <c r="F884" s="63"/>
      <c r="G884" s="63"/>
      <c r="H884" s="63"/>
      <c r="I884" s="63"/>
    </row>
    <row r="885" spans="6:9">
      <c r="F885" s="63"/>
      <c r="G885" s="63"/>
      <c r="H885" s="63"/>
      <c r="I885" s="63"/>
    </row>
    <row r="886" spans="6:9">
      <c r="F886" s="63"/>
      <c r="G886" s="63"/>
      <c r="H886" s="63"/>
      <c r="I886" s="63"/>
    </row>
    <row r="887" spans="6:9">
      <c r="F887" s="63"/>
      <c r="G887" s="63"/>
      <c r="H887" s="63"/>
      <c r="I887" s="63"/>
    </row>
    <row r="888" spans="6:9">
      <c r="F888" s="63"/>
      <c r="G888" s="63"/>
      <c r="H888" s="63"/>
      <c r="I888" s="63"/>
    </row>
    <row r="889" spans="6:9">
      <c r="F889" s="63"/>
      <c r="G889" s="63"/>
      <c r="H889" s="63"/>
      <c r="I889" s="63"/>
    </row>
    <row r="890" spans="6:9">
      <c r="F890" s="63"/>
      <c r="G890" s="63"/>
      <c r="H890" s="63"/>
      <c r="I890" s="63"/>
    </row>
    <row r="891" spans="6:9">
      <c r="F891" s="63"/>
      <c r="G891" s="63"/>
      <c r="H891" s="63"/>
      <c r="I891" s="63"/>
    </row>
    <row r="892" spans="6:9">
      <c r="F892" s="63"/>
      <c r="G892" s="63"/>
      <c r="H892" s="63"/>
      <c r="I892" s="63"/>
    </row>
    <row r="893" spans="6:9">
      <c r="F893" s="63"/>
      <c r="G893" s="63"/>
      <c r="H893" s="63"/>
      <c r="I893" s="63"/>
    </row>
    <row r="894" spans="6:9">
      <c r="F894" s="63"/>
      <c r="G894" s="63"/>
      <c r="H894" s="63"/>
      <c r="I894" s="63"/>
    </row>
    <row r="895" spans="6:9">
      <c r="F895" s="63"/>
      <c r="G895" s="63"/>
      <c r="H895" s="63"/>
      <c r="I895" s="63"/>
    </row>
    <row r="896" spans="6:9">
      <c r="F896" s="63"/>
      <c r="G896" s="63"/>
      <c r="H896" s="63"/>
      <c r="I896" s="63"/>
    </row>
    <row r="897" spans="6:9">
      <c r="F897" s="63"/>
      <c r="G897" s="63"/>
      <c r="H897" s="63"/>
      <c r="I897" s="63"/>
    </row>
    <row r="898" spans="6:9">
      <c r="F898" s="63"/>
      <c r="G898" s="63"/>
      <c r="H898" s="63"/>
      <c r="I898" s="63"/>
    </row>
    <row r="899" spans="6:9">
      <c r="F899" s="63"/>
      <c r="G899" s="63"/>
      <c r="H899" s="63"/>
      <c r="I899" s="63"/>
    </row>
    <row r="900" spans="6:9">
      <c r="F900" s="63"/>
      <c r="G900" s="63"/>
      <c r="H900" s="63"/>
      <c r="I900" s="63"/>
    </row>
    <row r="901" spans="6:9">
      <c r="F901" s="63"/>
      <c r="G901" s="63"/>
      <c r="H901" s="63"/>
      <c r="I901" s="63"/>
    </row>
    <row r="902" spans="6:9">
      <c r="F902" s="63"/>
      <c r="G902" s="63"/>
      <c r="H902" s="63"/>
      <c r="I902" s="63"/>
    </row>
    <row r="903" spans="6:9">
      <c r="F903" s="63"/>
      <c r="G903" s="63"/>
      <c r="H903" s="63"/>
      <c r="I903" s="63"/>
    </row>
    <row r="904" spans="6:9">
      <c r="F904" s="63"/>
      <c r="G904" s="63"/>
      <c r="H904" s="63"/>
      <c r="I904" s="63"/>
    </row>
    <row r="905" spans="6:9">
      <c r="F905" s="63"/>
      <c r="G905" s="63"/>
      <c r="H905" s="63"/>
      <c r="I905" s="63"/>
    </row>
    <row r="906" spans="6:9">
      <c r="F906" s="63"/>
      <c r="G906" s="63"/>
      <c r="H906" s="63"/>
      <c r="I906" s="63"/>
    </row>
    <row r="907" spans="6:9">
      <c r="F907" s="63"/>
      <c r="G907" s="63"/>
      <c r="H907" s="63"/>
      <c r="I907" s="63"/>
    </row>
    <row r="908" spans="6:9">
      <c r="F908" s="63"/>
      <c r="G908" s="63"/>
      <c r="H908" s="63"/>
      <c r="I908" s="63"/>
    </row>
    <row r="909" spans="6:9">
      <c r="F909" s="63"/>
      <c r="G909" s="63"/>
      <c r="H909" s="63"/>
      <c r="I909" s="63"/>
    </row>
    <row r="910" spans="6:9">
      <c r="F910" s="63"/>
      <c r="G910" s="63"/>
      <c r="H910" s="63"/>
      <c r="I910" s="63"/>
    </row>
    <row r="911" spans="6:9">
      <c r="F911" s="63"/>
      <c r="G911" s="63"/>
      <c r="H911" s="63"/>
      <c r="I911" s="63"/>
    </row>
    <row r="912" spans="6:9">
      <c r="F912" s="63"/>
      <c r="G912" s="63"/>
      <c r="H912" s="63"/>
      <c r="I912" s="63"/>
    </row>
    <row r="913" spans="6:9">
      <c r="F913" s="63"/>
      <c r="G913" s="63"/>
      <c r="H913" s="63"/>
      <c r="I913" s="63"/>
    </row>
    <row r="914" spans="6:9">
      <c r="F914" s="63"/>
      <c r="G914" s="63"/>
      <c r="H914" s="63"/>
      <c r="I914" s="63"/>
    </row>
    <row r="915" spans="6:9">
      <c r="F915" s="63"/>
      <c r="G915" s="63"/>
      <c r="H915" s="63"/>
      <c r="I915" s="63"/>
    </row>
    <row r="916" spans="6:9">
      <c r="F916" s="63"/>
      <c r="G916" s="63"/>
      <c r="H916" s="63"/>
      <c r="I916" s="63"/>
    </row>
    <row r="917" spans="6:9">
      <c r="F917" s="63"/>
      <c r="G917" s="63"/>
      <c r="H917" s="63"/>
      <c r="I917" s="63"/>
    </row>
    <row r="918" spans="6:9">
      <c r="F918" s="63"/>
      <c r="G918" s="63"/>
      <c r="H918" s="63"/>
      <c r="I918" s="63"/>
    </row>
    <row r="919" spans="6:9">
      <c r="F919" s="63"/>
      <c r="G919" s="63"/>
      <c r="H919" s="63"/>
      <c r="I919" s="63"/>
    </row>
    <row r="920" spans="6:9">
      <c r="F920" s="63"/>
      <c r="G920" s="63"/>
      <c r="H920" s="63"/>
      <c r="I920" s="63"/>
    </row>
    <row r="921" spans="6:9">
      <c r="F921" s="63"/>
      <c r="G921" s="63"/>
      <c r="H921" s="63"/>
      <c r="I921" s="63"/>
    </row>
    <row r="922" spans="6:9">
      <c r="F922" s="63"/>
      <c r="G922" s="63"/>
      <c r="H922" s="63"/>
      <c r="I922" s="63"/>
    </row>
    <row r="923" spans="6:9">
      <c r="F923" s="63"/>
      <c r="G923" s="63"/>
      <c r="H923" s="63"/>
      <c r="I923" s="63"/>
    </row>
    <row r="924" spans="6:9">
      <c r="F924" s="63"/>
      <c r="G924" s="63"/>
      <c r="H924" s="63"/>
      <c r="I924" s="63"/>
    </row>
    <row r="925" spans="6:9">
      <c r="F925" s="63"/>
      <c r="G925" s="63"/>
      <c r="H925" s="63"/>
      <c r="I925" s="63"/>
    </row>
    <row r="926" spans="6:9">
      <c r="F926" s="63"/>
      <c r="G926" s="63"/>
      <c r="H926" s="63"/>
      <c r="I926" s="63"/>
    </row>
    <row r="927" spans="6:9">
      <c r="F927" s="63"/>
      <c r="G927" s="63"/>
      <c r="H927" s="63"/>
      <c r="I927" s="63"/>
    </row>
    <row r="928" spans="6:9">
      <c r="F928" s="63"/>
      <c r="G928" s="63"/>
      <c r="H928" s="63"/>
      <c r="I928" s="63"/>
    </row>
    <row r="929" spans="6:9">
      <c r="F929" s="63"/>
      <c r="G929" s="63"/>
      <c r="H929" s="63"/>
      <c r="I929" s="63"/>
    </row>
    <row r="930" spans="6:9">
      <c r="F930" s="63"/>
      <c r="G930" s="63"/>
      <c r="H930" s="63"/>
      <c r="I930" s="63"/>
    </row>
    <row r="931" spans="6:9">
      <c r="F931" s="63"/>
      <c r="G931" s="63"/>
      <c r="H931" s="63"/>
      <c r="I931" s="63"/>
    </row>
    <row r="932" spans="6:9">
      <c r="F932" s="63"/>
      <c r="G932" s="63"/>
      <c r="H932" s="63"/>
      <c r="I932" s="63"/>
    </row>
    <row r="933" spans="6:9">
      <c r="F933" s="63"/>
      <c r="G933" s="63"/>
      <c r="H933" s="63"/>
      <c r="I933" s="63"/>
    </row>
    <row r="934" spans="6:9">
      <c r="F934" s="63"/>
      <c r="G934" s="63"/>
      <c r="H934" s="63"/>
      <c r="I934" s="63"/>
    </row>
    <row r="935" spans="6:9">
      <c r="F935" s="63"/>
      <c r="G935" s="63"/>
      <c r="H935" s="63"/>
      <c r="I935" s="63"/>
    </row>
    <row r="936" spans="6:9">
      <c r="F936" s="63"/>
      <c r="G936" s="63"/>
      <c r="H936" s="63"/>
      <c r="I936" s="63"/>
    </row>
    <row r="937" spans="6:9">
      <c r="F937" s="63"/>
      <c r="G937" s="63"/>
      <c r="H937" s="63"/>
      <c r="I937" s="63"/>
    </row>
    <row r="938" spans="6:9">
      <c r="F938" s="63"/>
      <c r="G938" s="63"/>
      <c r="H938" s="63"/>
      <c r="I938" s="63"/>
    </row>
    <row r="939" spans="6:9">
      <c r="F939" s="63"/>
      <c r="G939" s="63"/>
      <c r="H939" s="63"/>
      <c r="I939" s="63"/>
    </row>
    <row r="940" spans="6:9">
      <c r="F940" s="63"/>
      <c r="G940" s="63"/>
      <c r="H940" s="63"/>
      <c r="I940" s="63"/>
    </row>
    <row r="941" spans="6:9">
      <c r="F941" s="63"/>
      <c r="G941" s="63"/>
      <c r="H941" s="63"/>
      <c r="I941" s="63"/>
    </row>
    <row r="942" spans="6:9">
      <c r="F942" s="63"/>
      <c r="G942" s="63"/>
      <c r="H942" s="63"/>
      <c r="I942" s="63"/>
    </row>
    <row r="943" spans="6:9">
      <c r="F943" s="63"/>
      <c r="G943" s="63"/>
      <c r="H943" s="63"/>
      <c r="I943" s="63"/>
    </row>
    <row r="944" spans="6:9">
      <c r="F944" s="63"/>
      <c r="G944" s="63"/>
      <c r="H944" s="63"/>
      <c r="I944" s="63"/>
    </row>
    <row r="945" spans="6:9">
      <c r="F945" s="63"/>
      <c r="G945" s="63"/>
      <c r="H945" s="63"/>
      <c r="I945" s="63"/>
    </row>
    <row r="946" spans="6:9">
      <c r="F946" s="63"/>
      <c r="G946" s="63"/>
      <c r="H946" s="63"/>
      <c r="I946" s="63"/>
    </row>
    <row r="947" spans="6:9">
      <c r="F947" s="63"/>
      <c r="G947" s="63"/>
      <c r="H947" s="63"/>
      <c r="I947" s="63"/>
    </row>
    <row r="948" spans="6:9">
      <c r="F948" s="63"/>
      <c r="G948" s="63"/>
      <c r="H948" s="63"/>
      <c r="I948" s="63"/>
    </row>
    <row r="949" spans="6:9">
      <c r="F949" s="63"/>
      <c r="G949" s="63"/>
      <c r="H949" s="63"/>
      <c r="I949" s="63"/>
    </row>
    <row r="950" spans="6:9">
      <c r="F950" s="63"/>
      <c r="G950" s="63"/>
      <c r="H950" s="63"/>
      <c r="I950" s="63"/>
    </row>
    <row r="951" spans="6:9">
      <c r="F951" s="63"/>
      <c r="G951" s="63"/>
      <c r="H951" s="63"/>
      <c r="I951" s="63"/>
    </row>
    <row r="952" spans="6:9">
      <c r="F952" s="63"/>
      <c r="G952" s="63"/>
      <c r="H952" s="63"/>
      <c r="I952" s="63"/>
    </row>
    <row r="953" spans="6:9">
      <c r="F953" s="63"/>
      <c r="G953" s="63"/>
      <c r="H953" s="63"/>
      <c r="I953" s="63"/>
    </row>
    <row r="954" spans="6:9">
      <c r="F954" s="63"/>
      <c r="G954" s="63"/>
      <c r="H954" s="63"/>
      <c r="I954" s="63"/>
    </row>
    <row r="955" spans="6:9">
      <c r="F955" s="63"/>
      <c r="G955" s="63"/>
      <c r="H955" s="63"/>
      <c r="I955" s="63"/>
    </row>
    <row r="956" spans="6:9">
      <c r="F956" s="63"/>
      <c r="G956" s="63"/>
      <c r="H956" s="63"/>
      <c r="I956" s="63"/>
    </row>
    <row r="957" spans="6:9">
      <c r="F957" s="63"/>
      <c r="G957" s="63"/>
      <c r="H957" s="63"/>
      <c r="I957" s="63"/>
    </row>
    <row r="958" spans="6:9">
      <c r="F958" s="63"/>
      <c r="G958" s="63"/>
      <c r="H958" s="63"/>
      <c r="I958" s="63"/>
    </row>
    <row r="959" spans="6:9">
      <c r="F959" s="63"/>
      <c r="G959" s="63"/>
      <c r="H959" s="63"/>
      <c r="I959" s="63"/>
    </row>
    <row r="960" spans="6:9">
      <c r="F960" s="63"/>
      <c r="G960" s="63"/>
      <c r="H960" s="63"/>
      <c r="I960" s="63"/>
    </row>
    <row r="961" spans="6:9">
      <c r="F961" s="63"/>
      <c r="G961" s="63"/>
      <c r="H961" s="63"/>
      <c r="I961" s="63"/>
    </row>
    <row r="962" spans="6:9">
      <c r="F962" s="63"/>
      <c r="G962" s="63"/>
      <c r="H962" s="63"/>
      <c r="I962" s="63"/>
    </row>
    <row r="963" spans="6:9">
      <c r="F963" s="63"/>
      <c r="G963" s="63"/>
      <c r="H963" s="63"/>
      <c r="I963" s="63"/>
    </row>
    <row r="964" spans="6:9">
      <c r="F964" s="63"/>
      <c r="G964" s="63"/>
      <c r="H964" s="63"/>
      <c r="I964" s="63"/>
    </row>
    <row r="965" spans="6:9">
      <c r="F965" s="63"/>
      <c r="G965" s="63"/>
      <c r="H965" s="63"/>
      <c r="I965" s="63"/>
    </row>
    <row r="966" spans="6:9">
      <c r="F966" s="63"/>
      <c r="G966" s="63"/>
      <c r="H966" s="63"/>
      <c r="I966" s="63"/>
    </row>
    <row r="967" spans="6:9">
      <c r="F967" s="63"/>
      <c r="G967" s="63"/>
      <c r="H967" s="63"/>
      <c r="I967" s="63"/>
    </row>
    <row r="968" spans="6:9">
      <c r="F968" s="63"/>
      <c r="G968" s="63"/>
      <c r="H968" s="63"/>
      <c r="I968" s="63"/>
    </row>
    <row r="969" spans="6:9">
      <c r="F969" s="63"/>
      <c r="G969" s="63"/>
      <c r="H969" s="63"/>
      <c r="I969" s="63"/>
    </row>
    <row r="970" spans="6:9">
      <c r="F970" s="63"/>
      <c r="G970" s="63"/>
      <c r="H970" s="63"/>
      <c r="I970" s="63"/>
    </row>
    <row r="971" spans="6:9">
      <c r="F971" s="63"/>
      <c r="G971" s="63"/>
      <c r="H971" s="63"/>
      <c r="I971" s="63"/>
    </row>
    <row r="972" spans="6:9">
      <c r="F972" s="63"/>
      <c r="G972" s="63"/>
      <c r="H972" s="63"/>
      <c r="I972" s="63"/>
    </row>
    <row r="973" spans="6:9">
      <c r="F973" s="63"/>
      <c r="G973" s="63"/>
      <c r="H973" s="63"/>
      <c r="I973" s="63"/>
    </row>
    <row r="974" spans="6:9">
      <c r="F974" s="63"/>
      <c r="G974" s="63"/>
      <c r="H974" s="63"/>
      <c r="I974" s="63"/>
    </row>
    <row r="975" spans="6:9">
      <c r="F975" s="63"/>
      <c r="G975" s="63"/>
      <c r="H975" s="63"/>
      <c r="I975" s="63"/>
    </row>
    <row r="976" spans="6:9">
      <c r="F976" s="63"/>
      <c r="G976" s="63"/>
      <c r="H976" s="63"/>
      <c r="I976" s="63"/>
    </row>
    <row r="977" spans="6:9">
      <c r="F977" s="63"/>
      <c r="G977" s="63"/>
      <c r="H977" s="63"/>
      <c r="I977" s="63"/>
    </row>
    <row r="978" spans="6:9">
      <c r="F978" s="63"/>
      <c r="G978" s="63"/>
      <c r="H978" s="63"/>
      <c r="I978" s="63"/>
    </row>
    <row r="979" spans="6:9">
      <c r="F979" s="63"/>
      <c r="G979" s="63"/>
      <c r="H979" s="63"/>
      <c r="I979" s="63"/>
    </row>
    <row r="980" spans="6:9">
      <c r="F980" s="63"/>
      <c r="G980" s="63"/>
      <c r="H980" s="63"/>
      <c r="I980" s="63"/>
    </row>
    <row r="981" spans="6:9">
      <c r="F981" s="63"/>
      <c r="G981" s="63"/>
      <c r="H981" s="63"/>
      <c r="I981" s="63"/>
    </row>
    <row r="982" spans="6:9">
      <c r="F982" s="63"/>
      <c r="G982" s="63"/>
      <c r="H982" s="63"/>
      <c r="I982" s="63"/>
    </row>
    <row r="983" spans="6:9">
      <c r="F983" s="63"/>
      <c r="G983" s="63"/>
      <c r="H983" s="63"/>
      <c r="I983" s="63"/>
    </row>
    <row r="984" spans="6:9">
      <c r="F984" s="63"/>
      <c r="G984" s="63"/>
      <c r="H984" s="63"/>
      <c r="I984" s="63"/>
    </row>
    <row r="985" spans="6:9">
      <c r="F985" s="63"/>
      <c r="G985" s="63"/>
      <c r="H985" s="63"/>
      <c r="I985" s="63"/>
    </row>
    <row r="986" spans="6:9">
      <c r="F986" s="63"/>
      <c r="G986" s="63"/>
      <c r="H986" s="63"/>
      <c r="I986" s="63"/>
    </row>
    <row r="987" spans="6:9">
      <c r="F987" s="63"/>
      <c r="G987" s="63"/>
      <c r="H987" s="63"/>
      <c r="I987" s="63"/>
    </row>
    <row r="988" spans="6:9">
      <c r="F988" s="63"/>
      <c r="G988" s="63"/>
      <c r="H988" s="63"/>
      <c r="I988" s="63"/>
    </row>
    <row r="989" spans="6:9">
      <c r="F989" s="63"/>
      <c r="G989" s="63"/>
      <c r="H989" s="63"/>
      <c r="I989" s="63"/>
    </row>
    <row r="990" spans="6:9">
      <c r="F990" s="63"/>
      <c r="G990" s="63"/>
      <c r="H990" s="63"/>
      <c r="I990" s="63"/>
    </row>
    <row r="991" spans="6:9">
      <c r="F991" s="63"/>
      <c r="G991" s="63"/>
      <c r="H991" s="63"/>
      <c r="I991" s="63"/>
    </row>
    <row r="992" spans="6:9">
      <c r="F992" s="63"/>
      <c r="G992" s="63"/>
      <c r="H992" s="63"/>
      <c r="I992" s="63"/>
    </row>
    <row r="993" spans="6:9">
      <c r="F993" s="63"/>
      <c r="G993" s="63"/>
      <c r="H993" s="63"/>
      <c r="I993" s="63"/>
    </row>
    <row r="994" spans="6:9">
      <c r="F994" s="63"/>
      <c r="G994" s="63"/>
      <c r="H994" s="63"/>
      <c r="I994" s="63"/>
    </row>
    <row r="995" spans="6:9">
      <c r="F995" s="63"/>
      <c r="G995" s="63"/>
      <c r="H995" s="63"/>
      <c r="I995" s="63"/>
    </row>
    <row r="996" spans="6:9">
      <c r="F996" s="63"/>
      <c r="G996" s="63"/>
      <c r="H996" s="63"/>
      <c r="I996" s="63"/>
    </row>
    <row r="997" spans="6:9">
      <c r="F997" s="63"/>
      <c r="G997" s="63"/>
      <c r="H997" s="63"/>
      <c r="I997" s="63"/>
    </row>
    <row r="998" spans="6:9">
      <c r="F998" s="63"/>
      <c r="G998" s="63"/>
      <c r="H998" s="63"/>
      <c r="I998" s="63"/>
    </row>
    <row r="999" spans="6:9">
      <c r="F999" s="63"/>
      <c r="G999" s="63"/>
      <c r="H999" s="63"/>
      <c r="I999" s="63"/>
    </row>
    <row r="1000" spans="6:9">
      <c r="F1000" s="63"/>
      <c r="G1000" s="63"/>
      <c r="H1000" s="63"/>
      <c r="I1000" s="63"/>
    </row>
    <row r="1001" spans="6:9">
      <c r="F1001" s="63"/>
      <c r="G1001" s="63"/>
      <c r="H1001" s="63"/>
      <c r="I1001" s="63"/>
    </row>
    <row r="1002" spans="6:9">
      <c r="F1002" s="63"/>
      <c r="G1002" s="63"/>
      <c r="H1002" s="63"/>
      <c r="I1002" s="63"/>
    </row>
    <row r="1003" spans="6:9">
      <c r="F1003" s="63"/>
      <c r="G1003" s="63"/>
      <c r="H1003" s="63"/>
      <c r="I1003" s="63"/>
    </row>
    <row r="1004" spans="6:9">
      <c r="F1004" s="63"/>
      <c r="G1004" s="63"/>
      <c r="H1004" s="63"/>
      <c r="I1004" s="63"/>
    </row>
    <row r="1005" spans="6:9">
      <c r="F1005" s="63"/>
      <c r="G1005" s="63"/>
      <c r="H1005" s="63"/>
      <c r="I1005" s="63"/>
    </row>
    <row r="1006" spans="6:9">
      <c r="F1006" s="63"/>
      <c r="G1006" s="63"/>
      <c r="H1006" s="63"/>
      <c r="I1006" s="63"/>
    </row>
    <row r="1007" spans="6:9">
      <c r="F1007" s="63"/>
      <c r="G1007" s="63"/>
      <c r="H1007" s="63"/>
      <c r="I1007" s="63"/>
    </row>
    <row r="1008" spans="6:9">
      <c r="F1008" s="63"/>
      <c r="G1008" s="63"/>
      <c r="H1008" s="63"/>
      <c r="I1008" s="63"/>
    </row>
    <row r="1009" spans="6:9">
      <c r="F1009" s="63"/>
      <c r="G1009" s="63"/>
      <c r="H1009" s="63"/>
      <c r="I1009" s="63"/>
    </row>
    <row r="1010" spans="6:9">
      <c r="F1010" s="63"/>
      <c r="G1010" s="63"/>
      <c r="H1010" s="63"/>
      <c r="I1010" s="63"/>
    </row>
    <row r="1011" spans="6:9">
      <c r="F1011" s="63"/>
      <c r="G1011" s="63"/>
      <c r="H1011" s="63"/>
      <c r="I1011" s="63"/>
    </row>
    <row r="1012" spans="6:9">
      <c r="F1012" s="63"/>
      <c r="G1012" s="63"/>
      <c r="H1012" s="63"/>
      <c r="I1012" s="63"/>
    </row>
    <row r="1013" spans="6:9">
      <c r="F1013" s="63"/>
      <c r="G1013" s="63"/>
      <c r="H1013" s="63"/>
      <c r="I1013" s="63"/>
    </row>
    <row r="1014" spans="6:9">
      <c r="F1014" s="63"/>
      <c r="G1014" s="63"/>
      <c r="H1014" s="63"/>
      <c r="I1014" s="63"/>
    </row>
    <row r="1015" spans="6:9">
      <c r="F1015" s="63"/>
      <c r="G1015" s="63"/>
      <c r="H1015" s="63"/>
      <c r="I1015" s="63"/>
    </row>
    <row r="1016" spans="6:9">
      <c r="F1016" s="63"/>
      <c r="G1016" s="63"/>
      <c r="H1016" s="63"/>
      <c r="I1016" s="63"/>
    </row>
    <row r="1017" spans="6:9">
      <c r="F1017" s="63"/>
      <c r="G1017" s="63"/>
      <c r="H1017" s="63"/>
      <c r="I1017" s="63"/>
    </row>
    <row r="1018" spans="6:9">
      <c r="F1018" s="63"/>
      <c r="G1018" s="63"/>
      <c r="H1018" s="63"/>
      <c r="I1018" s="63"/>
    </row>
    <row r="1019" spans="6:9">
      <c r="F1019" s="63"/>
      <c r="G1019" s="63"/>
      <c r="H1019" s="63"/>
      <c r="I1019" s="63"/>
    </row>
    <row r="1020" spans="6:9">
      <c r="F1020" s="63"/>
      <c r="G1020" s="63"/>
      <c r="H1020" s="63"/>
      <c r="I1020" s="63"/>
    </row>
    <row r="1021" spans="6:9">
      <c r="F1021" s="63"/>
      <c r="G1021" s="63"/>
      <c r="H1021" s="63"/>
      <c r="I1021" s="63"/>
    </row>
    <row r="1022" spans="6:9">
      <c r="F1022" s="63"/>
      <c r="G1022" s="63"/>
      <c r="H1022" s="63"/>
      <c r="I1022" s="63"/>
    </row>
    <row r="1023" spans="6:9">
      <c r="F1023" s="63"/>
      <c r="G1023" s="63"/>
      <c r="H1023" s="63"/>
      <c r="I1023" s="63"/>
    </row>
    <row r="1024" spans="6:9">
      <c r="F1024" s="63"/>
      <c r="G1024" s="63"/>
      <c r="H1024" s="63"/>
      <c r="I1024" s="63"/>
    </row>
    <row r="1025" spans="6:9">
      <c r="F1025" s="63"/>
      <c r="G1025" s="63"/>
      <c r="H1025" s="63"/>
      <c r="I1025" s="63"/>
    </row>
    <row r="1026" spans="6:9">
      <c r="F1026" s="63"/>
      <c r="G1026" s="63"/>
      <c r="H1026" s="63"/>
      <c r="I1026" s="63"/>
    </row>
    <row r="1027" spans="6:9">
      <c r="F1027" s="63"/>
      <c r="G1027" s="63"/>
      <c r="H1027" s="63"/>
      <c r="I1027" s="63"/>
    </row>
    <row r="1028" spans="6:9">
      <c r="F1028" s="63"/>
      <c r="G1028" s="63"/>
      <c r="H1028" s="63"/>
      <c r="I1028" s="63"/>
    </row>
    <row r="1029" spans="6:9">
      <c r="F1029" s="63"/>
      <c r="G1029" s="63"/>
      <c r="H1029" s="63"/>
      <c r="I1029" s="63"/>
    </row>
    <row r="1030" spans="6:9">
      <c r="F1030" s="63"/>
      <c r="G1030" s="63"/>
      <c r="H1030" s="63"/>
      <c r="I1030" s="63"/>
    </row>
    <row r="1031" spans="6:9">
      <c r="F1031" s="63"/>
      <c r="G1031" s="63"/>
      <c r="H1031" s="63"/>
      <c r="I1031" s="63"/>
    </row>
    <row r="1032" spans="6:9">
      <c r="F1032" s="63"/>
      <c r="G1032" s="63"/>
      <c r="H1032" s="63"/>
      <c r="I1032" s="63"/>
    </row>
    <row r="1033" spans="6:9">
      <c r="F1033" s="63"/>
      <c r="G1033" s="63"/>
      <c r="H1033" s="63"/>
      <c r="I1033" s="63"/>
    </row>
    <row r="1034" spans="6:9">
      <c r="F1034" s="63"/>
      <c r="G1034" s="63"/>
      <c r="H1034" s="63"/>
      <c r="I1034" s="63"/>
    </row>
    <row r="1035" spans="6:9">
      <c r="F1035" s="63"/>
      <c r="G1035" s="63"/>
      <c r="H1035" s="63"/>
      <c r="I1035" s="63"/>
    </row>
    <row r="1036" spans="6:9">
      <c r="F1036" s="63"/>
      <c r="G1036" s="63"/>
      <c r="H1036" s="63"/>
      <c r="I1036" s="63"/>
    </row>
    <row r="1037" spans="6:9">
      <c r="F1037" s="63"/>
      <c r="G1037" s="63"/>
      <c r="H1037" s="63"/>
      <c r="I1037" s="63"/>
    </row>
    <row r="1038" spans="6:9">
      <c r="F1038" s="63"/>
      <c r="G1038" s="63"/>
      <c r="H1038" s="63"/>
      <c r="I1038" s="63"/>
    </row>
    <row r="1039" spans="6:9">
      <c r="F1039" s="63"/>
      <c r="G1039" s="63"/>
      <c r="H1039" s="63"/>
      <c r="I1039" s="63"/>
    </row>
    <row r="1040" spans="6:9">
      <c r="F1040" s="63"/>
      <c r="G1040" s="63"/>
      <c r="H1040" s="63"/>
      <c r="I1040" s="63"/>
    </row>
    <row r="1041" spans="6:9">
      <c r="F1041" s="63"/>
      <c r="G1041" s="63"/>
      <c r="H1041" s="63"/>
      <c r="I1041" s="63"/>
    </row>
    <row r="1042" spans="6:9">
      <c r="F1042" s="63"/>
      <c r="G1042" s="63"/>
      <c r="H1042" s="63"/>
      <c r="I1042" s="63"/>
    </row>
    <row r="1043" spans="6:9">
      <c r="F1043" s="63"/>
      <c r="G1043" s="63"/>
      <c r="H1043" s="63"/>
      <c r="I1043" s="63"/>
    </row>
    <row r="1044" spans="6:9">
      <c r="F1044" s="63"/>
      <c r="G1044" s="63"/>
      <c r="H1044" s="63"/>
      <c r="I1044" s="63"/>
    </row>
    <row r="1045" spans="6:9">
      <c r="F1045" s="63"/>
      <c r="G1045" s="63"/>
      <c r="H1045" s="63"/>
      <c r="I1045" s="63"/>
    </row>
    <row r="1046" spans="6:9">
      <c r="F1046" s="63"/>
      <c r="G1046" s="63"/>
      <c r="H1046" s="63"/>
      <c r="I1046" s="63"/>
    </row>
    <row r="1047" spans="6:9">
      <c r="F1047" s="63"/>
      <c r="G1047" s="63"/>
      <c r="H1047" s="63"/>
      <c r="I1047" s="63"/>
    </row>
    <row r="1048" spans="6:9">
      <c r="F1048" s="63"/>
      <c r="G1048" s="63"/>
      <c r="H1048" s="63"/>
      <c r="I1048" s="63"/>
    </row>
    <row r="1049" spans="6:9">
      <c r="F1049" s="63"/>
      <c r="G1049" s="63"/>
      <c r="H1049" s="63"/>
      <c r="I1049" s="63"/>
    </row>
    <row r="1050" spans="6:9">
      <c r="F1050" s="63"/>
      <c r="G1050" s="63"/>
      <c r="H1050" s="63"/>
      <c r="I1050" s="63"/>
    </row>
    <row r="1051" spans="6:9">
      <c r="F1051" s="63"/>
      <c r="G1051" s="63"/>
      <c r="H1051" s="63"/>
      <c r="I1051" s="63"/>
    </row>
    <row r="1052" spans="6:9">
      <c r="F1052" s="63"/>
      <c r="G1052" s="63"/>
      <c r="H1052" s="63"/>
      <c r="I1052" s="63"/>
    </row>
    <row r="1053" spans="6:9">
      <c r="F1053" s="63"/>
      <c r="G1053" s="63"/>
      <c r="H1053" s="63"/>
      <c r="I1053" s="63"/>
    </row>
    <row r="1054" spans="6:9">
      <c r="F1054" s="63"/>
      <c r="G1054" s="63"/>
      <c r="H1054" s="63"/>
      <c r="I1054" s="63"/>
    </row>
    <row r="1055" spans="6:9">
      <c r="F1055" s="63"/>
      <c r="G1055" s="63"/>
      <c r="H1055" s="63"/>
      <c r="I1055" s="63"/>
    </row>
    <row r="1056" spans="6:9">
      <c r="F1056" s="63"/>
      <c r="G1056" s="63"/>
      <c r="H1056" s="63"/>
      <c r="I1056" s="63"/>
    </row>
    <row r="1057" spans="6:9">
      <c r="F1057" s="63"/>
      <c r="G1057" s="63"/>
      <c r="H1057" s="63"/>
      <c r="I1057" s="63"/>
    </row>
    <row r="1058" spans="6:9">
      <c r="F1058" s="63"/>
      <c r="G1058" s="63"/>
      <c r="H1058" s="63"/>
      <c r="I1058" s="63"/>
    </row>
    <row r="1059" spans="6:9">
      <c r="F1059" s="63"/>
      <c r="G1059" s="63"/>
      <c r="H1059" s="63"/>
      <c r="I1059" s="63"/>
    </row>
    <row r="1060" spans="6:9">
      <c r="F1060" s="63"/>
      <c r="G1060" s="63"/>
      <c r="H1060" s="63"/>
      <c r="I1060" s="63"/>
    </row>
    <row r="1061" spans="6:9">
      <c r="F1061" s="63"/>
      <c r="G1061" s="63"/>
      <c r="H1061" s="63"/>
      <c r="I1061" s="63"/>
    </row>
    <row r="1062" spans="6:9">
      <c r="F1062" s="63"/>
      <c r="G1062" s="63"/>
      <c r="H1062" s="63"/>
      <c r="I1062" s="63"/>
    </row>
    <row r="1063" spans="6:9">
      <c r="F1063" s="63"/>
      <c r="G1063" s="63"/>
      <c r="H1063" s="63"/>
      <c r="I1063" s="63"/>
    </row>
    <row r="1064" spans="6:9">
      <c r="F1064" s="63"/>
      <c r="G1064" s="63"/>
      <c r="H1064" s="63"/>
      <c r="I1064" s="63"/>
    </row>
    <row r="1065" spans="6:9">
      <c r="F1065" s="63"/>
      <c r="G1065" s="63"/>
      <c r="H1065" s="63"/>
      <c r="I1065" s="63"/>
    </row>
    <row r="1066" spans="6:9">
      <c r="F1066" s="63"/>
      <c r="G1066" s="63"/>
      <c r="H1066" s="63"/>
      <c r="I1066" s="63"/>
    </row>
    <row r="1067" spans="6:9">
      <c r="F1067" s="63"/>
      <c r="G1067" s="63"/>
      <c r="H1067" s="63"/>
      <c r="I1067" s="63"/>
    </row>
    <row r="1068" spans="6:9">
      <c r="F1068" s="63"/>
      <c r="G1068" s="63"/>
      <c r="H1068" s="63"/>
      <c r="I1068" s="63"/>
    </row>
    <row r="1069" spans="6:9">
      <c r="F1069" s="63"/>
      <c r="G1069" s="63"/>
      <c r="H1069" s="63"/>
      <c r="I1069" s="63"/>
    </row>
    <row r="1070" spans="6:9">
      <c r="F1070" s="63"/>
      <c r="G1070" s="63"/>
      <c r="H1070" s="63"/>
      <c r="I1070" s="63"/>
    </row>
    <row r="1071" spans="6:9">
      <c r="F1071" s="63"/>
      <c r="G1071" s="63"/>
      <c r="H1071" s="63"/>
      <c r="I1071" s="63"/>
    </row>
    <row r="1072" spans="6:9">
      <c r="F1072" s="63"/>
      <c r="G1072" s="63"/>
      <c r="H1072" s="63"/>
      <c r="I1072" s="63"/>
    </row>
    <row r="1073" spans="6:9">
      <c r="F1073" s="63"/>
      <c r="G1073" s="63"/>
      <c r="H1073" s="63"/>
      <c r="I1073" s="63"/>
    </row>
    <row r="1074" spans="6:9">
      <c r="F1074" s="63"/>
      <c r="G1074" s="63"/>
      <c r="H1074" s="63"/>
      <c r="I1074" s="63"/>
    </row>
    <row r="1075" spans="6:9">
      <c r="F1075" s="63"/>
      <c r="G1075" s="63"/>
      <c r="H1075" s="63"/>
      <c r="I1075" s="63"/>
    </row>
    <row r="1076" spans="6:9">
      <c r="F1076" s="63"/>
      <c r="G1076" s="63"/>
      <c r="H1076" s="63"/>
      <c r="I1076" s="63"/>
    </row>
    <row r="1077" spans="6:9">
      <c r="F1077" s="63"/>
      <c r="G1077" s="63"/>
      <c r="H1077" s="63"/>
      <c r="I1077" s="63"/>
    </row>
    <row r="1078" spans="6:9">
      <c r="F1078" s="63"/>
      <c r="G1078" s="63"/>
      <c r="H1078" s="63"/>
      <c r="I1078" s="63"/>
    </row>
    <row r="1079" spans="6:9">
      <c r="F1079" s="63"/>
      <c r="G1079" s="63"/>
      <c r="H1079" s="63"/>
      <c r="I1079" s="63"/>
    </row>
    <row r="1080" spans="6:9">
      <c r="F1080" s="63"/>
      <c r="G1080" s="63"/>
      <c r="H1080" s="63"/>
      <c r="I1080" s="63"/>
    </row>
    <row r="1081" spans="6:9">
      <c r="F1081" s="63"/>
      <c r="G1081" s="63"/>
      <c r="H1081" s="63"/>
      <c r="I1081" s="63"/>
    </row>
    <row r="1082" spans="6:9">
      <c r="F1082" s="63"/>
      <c r="G1082" s="63"/>
      <c r="H1082" s="63"/>
      <c r="I1082" s="63"/>
    </row>
    <row r="1083" spans="6:9">
      <c r="F1083" s="63"/>
      <c r="G1083" s="63"/>
      <c r="H1083" s="63"/>
      <c r="I1083" s="63"/>
    </row>
    <row r="1084" spans="6:9">
      <c r="F1084" s="63"/>
      <c r="G1084" s="63"/>
      <c r="H1084" s="63"/>
      <c r="I1084" s="63"/>
    </row>
    <row r="1085" spans="6:9">
      <c r="F1085" s="63"/>
      <c r="G1085" s="63"/>
      <c r="H1085" s="63"/>
      <c r="I1085" s="63"/>
    </row>
    <row r="1086" spans="6:9">
      <c r="F1086" s="63"/>
      <c r="G1086" s="63"/>
      <c r="H1086" s="63"/>
      <c r="I1086" s="63"/>
    </row>
    <row r="1087" spans="6:9">
      <c r="F1087" s="63"/>
      <c r="G1087" s="63"/>
      <c r="H1087" s="63"/>
      <c r="I1087" s="63"/>
    </row>
    <row r="1088" spans="6:9">
      <c r="F1088" s="63"/>
      <c r="G1088" s="63"/>
      <c r="H1088" s="63"/>
      <c r="I1088" s="63"/>
    </row>
    <row r="1089" spans="6:9">
      <c r="F1089" s="63"/>
      <c r="G1089" s="63"/>
      <c r="H1089" s="63"/>
      <c r="I1089" s="63"/>
    </row>
    <row r="1090" spans="6:9">
      <c r="F1090" s="63"/>
      <c r="G1090" s="63"/>
      <c r="H1090" s="63"/>
      <c r="I1090" s="63"/>
    </row>
    <row r="1091" spans="6:9">
      <c r="F1091" s="63"/>
      <c r="G1091" s="63"/>
      <c r="H1091" s="63"/>
      <c r="I1091" s="63"/>
    </row>
    <row r="1092" spans="6:9">
      <c r="F1092" s="63"/>
      <c r="G1092" s="63"/>
      <c r="H1092" s="63"/>
      <c r="I1092" s="63"/>
    </row>
    <row r="1093" spans="6:9">
      <c r="F1093" s="63"/>
      <c r="G1093" s="63"/>
      <c r="H1093" s="63"/>
      <c r="I1093" s="63"/>
    </row>
    <row r="1094" spans="6:9">
      <c r="F1094" s="63"/>
      <c r="G1094" s="63"/>
      <c r="H1094" s="63"/>
      <c r="I1094" s="63"/>
    </row>
    <row r="1095" spans="6:9">
      <c r="F1095" s="63"/>
      <c r="G1095" s="63"/>
      <c r="H1095" s="63"/>
      <c r="I1095" s="63"/>
    </row>
    <row r="1096" spans="6:9">
      <c r="F1096" s="63"/>
      <c r="G1096" s="63"/>
      <c r="H1096" s="63"/>
      <c r="I1096" s="63"/>
    </row>
    <row r="1097" spans="6:9">
      <c r="F1097" s="63"/>
      <c r="G1097" s="63"/>
      <c r="H1097" s="63"/>
      <c r="I1097" s="63"/>
    </row>
    <row r="1098" spans="6:9">
      <c r="F1098" s="63"/>
      <c r="G1098" s="63"/>
      <c r="H1098" s="63"/>
      <c r="I1098" s="63"/>
    </row>
    <row r="1099" spans="6:9">
      <c r="F1099" s="63"/>
      <c r="G1099" s="63"/>
      <c r="H1099" s="63"/>
      <c r="I1099" s="63"/>
    </row>
    <row r="1100" spans="6:9">
      <c r="F1100" s="63"/>
      <c r="G1100" s="63"/>
      <c r="H1100" s="63"/>
      <c r="I1100" s="63"/>
    </row>
    <row r="1101" spans="6:9">
      <c r="F1101" s="63"/>
      <c r="G1101" s="63"/>
      <c r="H1101" s="63"/>
      <c r="I1101" s="63"/>
    </row>
    <row r="1102" spans="6:9">
      <c r="F1102" s="63"/>
      <c r="G1102" s="63"/>
      <c r="H1102" s="63"/>
      <c r="I1102" s="63"/>
    </row>
    <row r="1103" spans="6:9">
      <c r="F1103" s="63"/>
      <c r="G1103" s="63"/>
      <c r="H1103" s="63"/>
      <c r="I1103" s="63"/>
    </row>
    <row r="1104" spans="6:9">
      <c r="F1104" s="63"/>
      <c r="G1104" s="63"/>
      <c r="H1104" s="63"/>
      <c r="I1104" s="63"/>
    </row>
    <row r="1105" spans="6:9">
      <c r="F1105" s="63"/>
      <c r="G1105" s="63"/>
      <c r="H1105" s="63"/>
      <c r="I1105" s="63"/>
    </row>
    <row r="1106" spans="6:9">
      <c r="F1106" s="63"/>
      <c r="G1106" s="63"/>
      <c r="H1106" s="63"/>
      <c r="I1106" s="63"/>
    </row>
    <row r="1107" spans="6:9">
      <c r="F1107" s="63"/>
      <c r="G1107" s="63"/>
      <c r="H1107" s="63"/>
      <c r="I1107" s="63"/>
    </row>
    <row r="1108" spans="6:9">
      <c r="F1108" s="63"/>
      <c r="G1108" s="63"/>
      <c r="H1108" s="63"/>
      <c r="I1108" s="63"/>
    </row>
    <row r="1109" spans="6:9">
      <c r="F1109" s="63"/>
      <c r="G1109" s="63"/>
      <c r="H1109" s="63"/>
      <c r="I1109" s="63"/>
    </row>
    <row r="1110" spans="6:9">
      <c r="F1110" s="63"/>
      <c r="G1110" s="63"/>
      <c r="H1110" s="63"/>
      <c r="I1110" s="63"/>
    </row>
    <row r="1111" spans="6:9">
      <c r="F1111" s="63"/>
      <c r="G1111" s="63"/>
      <c r="H1111" s="63"/>
      <c r="I1111" s="63"/>
    </row>
    <row r="1112" spans="6:9">
      <c r="F1112" s="63"/>
      <c r="G1112" s="63"/>
      <c r="H1112" s="63"/>
      <c r="I1112" s="63"/>
    </row>
    <row r="1113" spans="6:9">
      <c r="F1113" s="63"/>
      <c r="G1113" s="63"/>
      <c r="H1113" s="63"/>
      <c r="I1113" s="63"/>
    </row>
    <row r="1114" spans="6:9">
      <c r="F1114" s="63"/>
      <c r="G1114" s="63"/>
      <c r="H1114" s="63"/>
      <c r="I1114" s="63"/>
    </row>
    <row r="1115" spans="6:9">
      <c r="F1115" s="63"/>
      <c r="G1115" s="63"/>
      <c r="H1115" s="63"/>
      <c r="I1115" s="63"/>
    </row>
    <row r="1116" spans="6:9">
      <c r="F1116" s="63"/>
      <c r="G1116" s="63"/>
      <c r="H1116" s="63"/>
      <c r="I1116" s="63"/>
    </row>
    <row r="1117" spans="6:9">
      <c r="F1117" s="63"/>
      <c r="G1117" s="63"/>
      <c r="H1117" s="63"/>
      <c r="I1117" s="63"/>
    </row>
    <row r="1118" spans="6:9">
      <c r="F1118" s="63"/>
      <c r="G1118" s="63"/>
      <c r="H1118" s="63"/>
      <c r="I1118" s="63"/>
    </row>
    <row r="1119" spans="6:9">
      <c r="F1119" s="63"/>
      <c r="G1119" s="63"/>
      <c r="H1119" s="63"/>
      <c r="I1119" s="63"/>
    </row>
    <row r="1120" spans="6:9">
      <c r="F1120" s="63"/>
      <c r="G1120" s="63"/>
      <c r="H1120" s="63"/>
      <c r="I1120" s="63"/>
    </row>
    <row r="1121" spans="6:9">
      <c r="F1121" s="63"/>
      <c r="G1121" s="63"/>
      <c r="H1121" s="63"/>
      <c r="I1121" s="63"/>
    </row>
    <row r="1122" spans="6:9">
      <c r="F1122" s="63"/>
      <c r="G1122" s="63"/>
      <c r="H1122" s="63"/>
      <c r="I1122" s="63"/>
    </row>
    <row r="1123" spans="6:9">
      <c r="F1123" s="63"/>
      <c r="G1123" s="63"/>
      <c r="H1123" s="63"/>
      <c r="I1123" s="63"/>
    </row>
    <row r="1124" spans="6:9">
      <c r="F1124" s="63"/>
      <c r="G1124" s="63"/>
      <c r="H1124" s="63"/>
      <c r="I1124" s="63"/>
    </row>
    <row r="1125" spans="6:9">
      <c r="F1125" s="63"/>
      <c r="G1125" s="63"/>
      <c r="H1125" s="63"/>
      <c r="I1125" s="63"/>
    </row>
    <row r="1126" spans="6:9">
      <c r="F1126" s="63"/>
      <c r="G1126" s="63"/>
      <c r="H1126" s="63"/>
      <c r="I1126" s="63"/>
    </row>
    <row r="1127" spans="6:9">
      <c r="F1127" s="63"/>
      <c r="G1127" s="63"/>
      <c r="H1127" s="63"/>
      <c r="I1127" s="63"/>
    </row>
    <row r="1128" spans="6:9">
      <c r="F1128" s="63"/>
      <c r="G1128" s="63"/>
      <c r="H1128" s="63"/>
      <c r="I1128" s="63"/>
    </row>
    <row r="1129" spans="6:9">
      <c r="F1129" s="63"/>
      <c r="G1129" s="63"/>
      <c r="H1129" s="63"/>
      <c r="I1129" s="63"/>
    </row>
    <row r="1130" spans="6:9">
      <c r="F1130" s="63"/>
      <c r="G1130" s="63"/>
      <c r="H1130" s="63"/>
      <c r="I1130" s="63"/>
    </row>
    <row r="1131" spans="6:9">
      <c r="F1131" s="63"/>
      <c r="G1131" s="63"/>
      <c r="H1131" s="63"/>
      <c r="I1131" s="63"/>
    </row>
    <row r="1132" spans="6:9">
      <c r="F1132" s="63"/>
      <c r="G1132" s="63"/>
      <c r="H1132" s="63"/>
      <c r="I1132" s="63"/>
    </row>
    <row r="1133" spans="6:9">
      <c r="F1133" s="63"/>
      <c r="G1133" s="63"/>
      <c r="H1133" s="63"/>
      <c r="I1133" s="63"/>
    </row>
    <row r="1134" spans="6:9">
      <c r="F1134" s="63"/>
      <c r="G1134" s="63"/>
      <c r="H1134" s="63"/>
      <c r="I1134" s="63"/>
    </row>
    <row r="1135" spans="6:9">
      <c r="F1135" s="63"/>
      <c r="G1135" s="63"/>
      <c r="H1135" s="63"/>
      <c r="I1135" s="63"/>
    </row>
    <row r="1136" spans="6:9">
      <c r="F1136" s="63"/>
      <c r="G1136" s="63"/>
      <c r="H1136" s="63"/>
      <c r="I1136" s="63"/>
    </row>
    <row r="1137" spans="6:9">
      <c r="F1137" s="63"/>
      <c r="G1137" s="63"/>
      <c r="H1137" s="63"/>
      <c r="I1137" s="63"/>
    </row>
    <row r="1138" spans="6:9">
      <c r="F1138" s="63"/>
      <c r="G1138" s="63"/>
      <c r="H1138" s="63"/>
      <c r="I1138" s="63"/>
    </row>
    <row r="1139" spans="6:9">
      <c r="F1139" s="63"/>
      <c r="G1139" s="63"/>
      <c r="H1139" s="63"/>
      <c r="I1139" s="63"/>
    </row>
    <row r="1140" spans="6:9">
      <c r="F1140" s="63"/>
      <c r="G1140" s="63"/>
      <c r="H1140" s="63"/>
      <c r="I1140" s="63"/>
    </row>
    <row r="1141" spans="6:9">
      <c r="F1141" s="63"/>
      <c r="G1141" s="63"/>
      <c r="H1141" s="63"/>
      <c r="I1141" s="63"/>
    </row>
    <row r="1142" spans="6:9">
      <c r="F1142" s="63"/>
      <c r="G1142" s="63"/>
      <c r="H1142" s="63"/>
      <c r="I1142" s="63"/>
    </row>
    <row r="1143" spans="6:9">
      <c r="F1143" s="63"/>
      <c r="G1143" s="63"/>
      <c r="H1143" s="63"/>
      <c r="I1143" s="63"/>
    </row>
    <row r="1144" spans="6:9">
      <c r="F1144" s="63"/>
      <c r="G1144" s="63"/>
      <c r="H1144" s="63"/>
      <c r="I1144" s="63"/>
    </row>
    <row r="1145" spans="6:9">
      <c r="F1145" s="63"/>
      <c r="G1145" s="63"/>
      <c r="H1145" s="63"/>
      <c r="I1145" s="63"/>
    </row>
    <row r="1146" spans="6:9">
      <c r="F1146" s="63"/>
      <c r="G1146" s="63"/>
      <c r="H1146" s="63"/>
      <c r="I1146" s="63"/>
    </row>
    <row r="1147" spans="6:9">
      <c r="F1147" s="63"/>
      <c r="G1147" s="63"/>
      <c r="H1147" s="63"/>
      <c r="I1147" s="63"/>
    </row>
    <row r="1148" spans="6:9">
      <c r="F1148" s="63"/>
      <c r="G1148" s="63"/>
      <c r="H1148" s="63"/>
      <c r="I1148" s="63"/>
    </row>
    <row r="1149" spans="6:9">
      <c r="F1149" s="63"/>
      <c r="G1149" s="63"/>
      <c r="H1149" s="63"/>
      <c r="I1149" s="63"/>
    </row>
    <row r="1150" spans="6:9">
      <c r="F1150" s="63"/>
      <c r="G1150" s="63"/>
      <c r="H1150" s="63"/>
      <c r="I1150" s="63"/>
    </row>
    <row r="1151" spans="6:9">
      <c r="F1151" s="63"/>
      <c r="G1151" s="63"/>
      <c r="H1151" s="63"/>
      <c r="I1151" s="63"/>
    </row>
    <row r="1152" spans="6:9">
      <c r="F1152" s="63"/>
      <c r="G1152" s="63"/>
      <c r="H1152" s="63"/>
      <c r="I1152" s="63"/>
    </row>
    <row r="1153" spans="6:9">
      <c r="F1153" s="63"/>
      <c r="G1153" s="63"/>
      <c r="H1153" s="63"/>
      <c r="I1153" s="63"/>
    </row>
    <row r="1154" spans="6:9">
      <c r="F1154" s="63"/>
      <c r="G1154" s="63"/>
      <c r="H1154" s="63"/>
      <c r="I1154" s="63"/>
    </row>
    <row r="1155" spans="6:9">
      <c r="F1155" s="63"/>
      <c r="G1155" s="63"/>
      <c r="H1155" s="63"/>
      <c r="I1155" s="63"/>
    </row>
    <row r="1156" spans="6:9">
      <c r="F1156" s="63"/>
      <c r="G1156" s="63"/>
      <c r="H1156" s="63"/>
      <c r="I1156" s="63"/>
    </row>
    <row r="1157" spans="6:9">
      <c r="F1157" s="63"/>
      <c r="G1157" s="63"/>
      <c r="H1157" s="63"/>
      <c r="I1157" s="63"/>
    </row>
    <row r="1158" spans="6:9">
      <c r="F1158" s="63"/>
      <c r="G1158" s="63"/>
      <c r="H1158" s="63"/>
      <c r="I1158" s="63"/>
    </row>
    <row r="1159" spans="6:9">
      <c r="F1159" s="63"/>
      <c r="G1159" s="63"/>
      <c r="H1159" s="63"/>
      <c r="I1159" s="63"/>
    </row>
    <row r="1160" spans="6:9">
      <c r="F1160" s="63"/>
      <c r="G1160" s="63"/>
      <c r="H1160" s="63"/>
      <c r="I1160" s="63"/>
    </row>
    <row r="1161" spans="6:9">
      <c r="F1161" s="63"/>
      <c r="G1161" s="63"/>
      <c r="H1161" s="63"/>
      <c r="I1161" s="63"/>
    </row>
    <row r="1162" spans="6:9">
      <c r="F1162" s="63"/>
      <c r="G1162" s="63"/>
      <c r="H1162" s="63"/>
      <c r="I1162" s="63"/>
    </row>
    <row r="1163" spans="6:9">
      <c r="F1163" s="63"/>
      <c r="G1163" s="63"/>
      <c r="H1163" s="63"/>
      <c r="I1163" s="63"/>
    </row>
    <row r="1164" spans="6:9">
      <c r="F1164" s="63"/>
      <c r="G1164" s="63"/>
      <c r="H1164" s="63"/>
      <c r="I1164" s="63"/>
    </row>
    <row r="1165" spans="6:9">
      <c r="F1165" s="63"/>
      <c r="G1165" s="63"/>
      <c r="H1165" s="63"/>
      <c r="I1165" s="63"/>
    </row>
    <row r="1166" spans="6:9">
      <c r="F1166" s="63"/>
      <c r="G1166" s="63"/>
      <c r="H1166" s="63"/>
      <c r="I1166" s="63"/>
    </row>
    <row r="1167" spans="6:9">
      <c r="F1167" s="63"/>
      <c r="G1167" s="63"/>
      <c r="H1167" s="63"/>
      <c r="I1167" s="63"/>
    </row>
    <row r="1168" spans="6:9">
      <c r="F1168" s="63"/>
      <c r="G1168" s="63"/>
      <c r="H1168" s="63"/>
      <c r="I1168" s="63"/>
    </row>
    <row r="1169" spans="6:9">
      <c r="F1169" s="63"/>
      <c r="G1169" s="63"/>
      <c r="H1169" s="63"/>
      <c r="I1169" s="63"/>
    </row>
    <row r="1170" spans="6:9">
      <c r="F1170" s="63"/>
      <c r="G1170" s="63"/>
      <c r="H1170" s="63"/>
      <c r="I1170" s="63"/>
    </row>
    <row r="1171" spans="6:9">
      <c r="F1171" s="63"/>
      <c r="G1171" s="63"/>
      <c r="H1171" s="63"/>
      <c r="I1171" s="63"/>
    </row>
    <row r="1172" spans="6:9">
      <c r="F1172" s="63"/>
      <c r="G1172" s="63"/>
      <c r="H1172" s="63"/>
      <c r="I1172" s="63"/>
    </row>
    <row r="1173" spans="6:9">
      <c r="F1173" s="63"/>
      <c r="G1173" s="63"/>
      <c r="H1173" s="63"/>
      <c r="I1173" s="63"/>
    </row>
    <row r="1174" spans="6:9">
      <c r="F1174" s="63"/>
      <c r="G1174" s="63"/>
      <c r="H1174" s="63"/>
      <c r="I1174" s="63"/>
    </row>
    <row r="1175" spans="6:9">
      <c r="F1175" s="63"/>
      <c r="G1175" s="63"/>
      <c r="H1175" s="63"/>
      <c r="I1175" s="63"/>
    </row>
    <row r="1176" spans="6:9">
      <c r="F1176" s="63"/>
      <c r="G1176" s="63"/>
      <c r="H1176" s="63"/>
      <c r="I1176" s="63"/>
    </row>
    <row r="1177" spans="6:9">
      <c r="F1177" s="63"/>
      <c r="G1177" s="63"/>
      <c r="H1177" s="63"/>
      <c r="I1177" s="63"/>
    </row>
    <row r="1178" spans="6:9">
      <c r="F1178" s="63"/>
      <c r="G1178" s="63"/>
      <c r="H1178" s="63"/>
      <c r="I1178" s="63"/>
    </row>
    <row r="1179" spans="6:9">
      <c r="F1179" s="63"/>
      <c r="G1179" s="63"/>
      <c r="H1179" s="63"/>
      <c r="I1179" s="63"/>
    </row>
    <row r="1180" spans="6:9">
      <c r="F1180" s="63"/>
      <c r="G1180" s="63"/>
      <c r="H1180" s="63"/>
      <c r="I1180" s="63"/>
    </row>
    <row r="1181" spans="6:9">
      <c r="F1181" s="63"/>
      <c r="G1181" s="63"/>
      <c r="H1181" s="63"/>
      <c r="I1181" s="63"/>
    </row>
    <row r="1182" spans="6:9">
      <c r="F1182" s="63"/>
      <c r="G1182" s="63"/>
      <c r="H1182" s="63"/>
      <c r="I1182" s="63"/>
    </row>
    <row r="1183" spans="6:9">
      <c r="F1183" s="63"/>
      <c r="G1183" s="63"/>
      <c r="H1183" s="63"/>
      <c r="I1183" s="63"/>
    </row>
    <row r="1184" spans="6:9">
      <c r="F1184" s="63"/>
      <c r="G1184" s="63"/>
      <c r="H1184" s="63"/>
      <c r="I1184" s="63"/>
    </row>
    <row r="1185" spans="6:9">
      <c r="F1185" s="63"/>
      <c r="G1185" s="63"/>
      <c r="H1185" s="63"/>
      <c r="I1185" s="63"/>
    </row>
    <row r="1186" spans="6:9">
      <c r="F1186" s="63"/>
      <c r="G1186" s="63"/>
      <c r="H1186" s="63"/>
      <c r="I1186" s="63"/>
    </row>
    <row r="1187" spans="6:9">
      <c r="F1187" s="63"/>
      <c r="G1187" s="63"/>
      <c r="H1187" s="63"/>
      <c r="I1187" s="63"/>
    </row>
    <row r="1188" spans="6:9">
      <c r="F1188" s="63"/>
      <c r="G1188" s="63"/>
      <c r="H1188" s="63"/>
      <c r="I1188" s="63"/>
    </row>
    <row r="1189" spans="6:9">
      <c r="F1189" s="63"/>
      <c r="G1189" s="63"/>
      <c r="H1189" s="63"/>
      <c r="I1189" s="63"/>
    </row>
    <row r="1190" spans="6:9">
      <c r="F1190" s="63"/>
      <c r="G1190" s="63"/>
      <c r="H1190" s="63"/>
      <c r="I1190" s="63"/>
    </row>
    <row r="1191" spans="6:9">
      <c r="F1191" s="63"/>
      <c r="G1191" s="63"/>
      <c r="H1191" s="63"/>
      <c r="I1191" s="63"/>
    </row>
    <row r="1192" spans="6:9">
      <c r="F1192" s="63"/>
      <c r="G1192" s="63"/>
      <c r="H1192" s="63"/>
      <c r="I1192" s="63"/>
    </row>
    <row r="1193" spans="6:9">
      <c r="F1193" s="63"/>
      <c r="G1193" s="63"/>
      <c r="H1193" s="63"/>
      <c r="I1193" s="63"/>
    </row>
    <row r="1194" spans="6:9">
      <c r="F1194" s="63"/>
      <c r="G1194" s="63"/>
      <c r="H1194" s="63"/>
      <c r="I1194" s="63"/>
    </row>
    <row r="1195" spans="6:9">
      <c r="F1195" s="63"/>
      <c r="G1195" s="63"/>
      <c r="H1195" s="63"/>
      <c r="I1195" s="63"/>
    </row>
    <row r="1196" spans="6:9">
      <c r="F1196" s="63"/>
      <c r="G1196" s="63"/>
      <c r="H1196" s="63"/>
      <c r="I1196" s="63"/>
    </row>
    <row r="1197" spans="6:9">
      <c r="F1197" s="63"/>
      <c r="G1197" s="63"/>
      <c r="H1197" s="63"/>
      <c r="I1197" s="63"/>
    </row>
    <row r="1198" spans="6:9">
      <c r="F1198" s="63"/>
      <c r="G1198" s="63"/>
      <c r="H1198" s="63"/>
      <c r="I1198" s="63"/>
    </row>
    <row r="1199" spans="6:9">
      <c r="F1199" s="63"/>
      <c r="G1199" s="63"/>
      <c r="H1199" s="63"/>
      <c r="I1199" s="63"/>
    </row>
    <row r="1200" spans="6:9">
      <c r="F1200" s="63"/>
      <c r="G1200" s="63"/>
      <c r="H1200" s="63"/>
      <c r="I1200" s="63"/>
    </row>
    <row r="1201" spans="6:9">
      <c r="F1201" s="63"/>
      <c r="G1201" s="63"/>
      <c r="H1201" s="63"/>
      <c r="I1201" s="63"/>
    </row>
    <row r="1202" spans="6:9">
      <c r="F1202" s="63"/>
      <c r="G1202" s="63"/>
      <c r="H1202" s="63"/>
      <c r="I1202" s="63"/>
    </row>
    <row r="1203" spans="6:9">
      <c r="F1203" s="63"/>
      <c r="G1203" s="63"/>
      <c r="H1203" s="63"/>
      <c r="I1203" s="63"/>
    </row>
    <row r="1204" spans="6:9">
      <c r="F1204" s="63"/>
      <c r="G1204" s="63"/>
      <c r="H1204" s="63"/>
      <c r="I1204" s="63"/>
    </row>
    <row r="1205" spans="6:9">
      <c r="F1205" s="63"/>
      <c r="G1205" s="63"/>
      <c r="H1205" s="63"/>
      <c r="I1205" s="63"/>
    </row>
    <row r="1206" spans="6:9">
      <c r="F1206" s="63"/>
      <c r="G1206" s="63"/>
      <c r="H1206" s="63"/>
      <c r="I1206" s="63"/>
    </row>
    <row r="1207" spans="6:9">
      <c r="F1207" s="63"/>
      <c r="G1207" s="63"/>
      <c r="H1207" s="63"/>
      <c r="I1207" s="63"/>
    </row>
    <row r="1208" spans="6:9">
      <c r="F1208" s="63"/>
      <c r="G1208" s="63"/>
      <c r="H1208" s="63"/>
      <c r="I1208" s="63"/>
    </row>
    <row r="1209" spans="6:9">
      <c r="F1209" s="63"/>
      <c r="G1209" s="63"/>
      <c r="H1209" s="63"/>
      <c r="I1209" s="63"/>
    </row>
    <row r="1210" spans="6:9">
      <c r="F1210" s="63"/>
      <c r="G1210" s="63"/>
      <c r="H1210" s="63"/>
      <c r="I1210" s="63"/>
    </row>
    <row r="1211" spans="6:9">
      <c r="F1211" s="63"/>
      <c r="G1211" s="63"/>
      <c r="H1211" s="63"/>
      <c r="I1211" s="63"/>
    </row>
    <row r="1212" spans="6:9">
      <c r="F1212" s="63"/>
      <c r="G1212" s="63"/>
      <c r="H1212" s="63"/>
      <c r="I1212" s="63"/>
    </row>
    <row r="1213" spans="6:9">
      <c r="F1213" s="63"/>
      <c r="G1213" s="63"/>
      <c r="H1213" s="63"/>
      <c r="I1213" s="63"/>
    </row>
    <row r="1214" spans="6:9">
      <c r="F1214" s="63"/>
      <c r="G1214" s="63"/>
      <c r="H1214" s="63"/>
      <c r="I1214" s="63"/>
    </row>
    <row r="1215" spans="6:9">
      <c r="F1215" s="63"/>
      <c r="G1215" s="63"/>
      <c r="H1215" s="63"/>
      <c r="I1215" s="63"/>
    </row>
    <row r="1216" spans="6:9">
      <c r="F1216" s="63"/>
      <c r="G1216" s="63"/>
      <c r="H1216" s="63"/>
      <c r="I1216" s="63"/>
    </row>
    <row r="1217" spans="6:9">
      <c r="F1217" s="63"/>
      <c r="G1217" s="63"/>
      <c r="H1217" s="63"/>
      <c r="I1217" s="63"/>
    </row>
    <row r="1218" spans="6:9">
      <c r="F1218" s="63"/>
      <c r="G1218" s="63"/>
      <c r="H1218" s="63"/>
      <c r="I1218" s="63"/>
    </row>
    <row r="1219" spans="6:9">
      <c r="F1219" s="63"/>
      <c r="G1219" s="63"/>
      <c r="H1219" s="63"/>
      <c r="I1219" s="63"/>
    </row>
    <row r="1220" spans="6:9">
      <c r="F1220" s="63"/>
      <c r="G1220" s="63"/>
      <c r="H1220" s="63"/>
      <c r="I1220" s="63"/>
    </row>
    <row r="1221" spans="6:9">
      <c r="F1221" s="63"/>
      <c r="G1221" s="63"/>
      <c r="H1221" s="63"/>
      <c r="I1221" s="63"/>
    </row>
    <row r="1222" spans="6:9">
      <c r="F1222" s="63"/>
      <c r="G1222" s="63"/>
      <c r="H1222" s="63"/>
      <c r="I1222" s="63"/>
    </row>
    <row r="1223" spans="6:9">
      <c r="F1223" s="63"/>
      <c r="G1223" s="63"/>
      <c r="H1223" s="63"/>
      <c r="I1223" s="63"/>
    </row>
    <row r="1224" spans="6:9">
      <c r="F1224" s="63"/>
      <c r="G1224" s="63"/>
      <c r="H1224" s="63"/>
      <c r="I1224" s="63"/>
    </row>
    <row r="1225" spans="6:9">
      <c r="F1225" s="63"/>
      <c r="G1225" s="63"/>
      <c r="H1225" s="63"/>
      <c r="I1225" s="63"/>
    </row>
    <row r="1226" spans="6:9">
      <c r="F1226" s="63"/>
      <c r="G1226" s="63"/>
      <c r="H1226" s="63"/>
      <c r="I1226" s="63"/>
    </row>
    <row r="1227" spans="6:9">
      <c r="F1227" s="63"/>
      <c r="G1227" s="63"/>
      <c r="H1227" s="63"/>
      <c r="I1227" s="63"/>
    </row>
    <row r="1228" spans="6:9">
      <c r="F1228" s="63"/>
      <c r="G1228" s="63"/>
      <c r="H1228" s="63"/>
      <c r="I1228" s="63"/>
    </row>
    <row r="1229" spans="6:9">
      <c r="F1229" s="63"/>
      <c r="G1229" s="63"/>
      <c r="H1229" s="63"/>
      <c r="I1229" s="63"/>
    </row>
    <row r="1230" spans="6:9">
      <c r="F1230" s="63"/>
      <c r="G1230" s="63"/>
      <c r="H1230" s="63"/>
      <c r="I1230" s="63"/>
    </row>
    <row r="1231" spans="6:9">
      <c r="F1231" s="63"/>
      <c r="G1231" s="63"/>
      <c r="H1231" s="63"/>
      <c r="I1231" s="63"/>
    </row>
    <row r="1232" spans="6:9">
      <c r="F1232" s="63"/>
      <c r="G1232" s="63"/>
      <c r="H1232" s="63"/>
      <c r="I1232" s="63"/>
    </row>
    <row r="1233" spans="6:9">
      <c r="F1233" s="63"/>
      <c r="G1233" s="63"/>
      <c r="H1233" s="63"/>
      <c r="I1233" s="63"/>
    </row>
    <row r="1234" spans="6:9">
      <c r="F1234" s="63"/>
      <c r="G1234" s="63"/>
      <c r="H1234" s="63"/>
      <c r="I1234" s="63"/>
    </row>
    <row r="1235" spans="6:9">
      <c r="F1235" s="63"/>
      <c r="G1235" s="63"/>
      <c r="H1235" s="63"/>
      <c r="I1235" s="63"/>
    </row>
    <row r="1236" spans="6:9">
      <c r="F1236" s="63"/>
      <c r="G1236" s="63"/>
      <c r="H1236" s="63"/>
      <c r="I1236" s="63"/>
    </row>
    <row r="1237" spans="6:9">
      <c r="F1237" s="63"/>
      <c r="G1237" s="63"/>
      <c r="H1237" s="63"/>
      <c r="I1237" s="63"/>
    </row>
    <row r="1238" spans="6:9">
      <c r="F1238" s="63"/>
      <c r="G1238" s="63"/>
      <c r="H1238" s="63"/>
      <c r="I1238" s="63"/>
    </row>
    <row r="1239" spans="6:9">
      <c r="F1239" s="63"/>
      <c r="G1239" s="63"/>
      <c r="H1239" s="63"/>
      <c r="I1239" s="63"/>
    </row>
    <row r="1240" spans="6:9">
      <c r="F1240" s="63"/>
      <c r="G1240" s="63"/>
      <c r="H1240" s="63"/>
      <c r="I1240" s="63"/>
    </row>
    <row r="1241" spans="6:9">
      <c r="F1241" s="63"/>
      <c r="G1241" s="63"/>
      <c r="H1241" s="63"/>
      <c r="I1241" s="63"/>
    </row>
    <row r="1242" spans="6:9">
      <c r="F1242" s="63"/>
      <c r="G1242" s="63"/>
      <c r="H1242" s="63"/>
      <c r="I1242" s="63"/>
    </row>
    <row r="1243" spans="6:9">
      <c r="F1243" s="63"/>
      <c r="G1243" s="63"/>
      <c r="H1243" s="63"/>
      <c r="I1243" s="63"/>
    </row>
    <row r="1244" spans="6:9">
      <c r="F1244" s="63"/>
      <c r="G1244" s="63"/>
      <c r="H1244" s="63"/>
      <c r="I1244" s="63"/>
    </row>
    <row r="1245" spans="6:9">
      <c r="F1245" s="63"/>
      <c r="G1245" s="63"/>
      <c r="H1245" s="63"/>
      <c r="I1245" s="63"/>
    </row>
    <row r="1246" spans="6:9">
      <c r="F1246" s="63"/>
      <c r="G1246" s="63"/>
      <c r="H1246" s="63"/>
      <c r="I1246" s="63"/>
    </row>
    <row r="1247" spans="6:9">
      <c r="F1247" s="63"/>
      <c r="G1247" s="63"/>
      <c r="H1247" s="63"/>
      <c r="I1247" s="63"/>
    </row>
    <row r="1248" spans="6:9">
      <c r="F1248" s="63"/>
      <c r="G1248" s="63"/>
      <c r="H1248" s="63"/>
      <c r="I1248" s="63"/>
    </row>
    <row r="1249" spans="6:9">
      <c r="F1249" s="63"/>
      <c r="G1249" s="63"/>
      <c r="H1249" s="63"/>
      <c r="I1249" s="63"/>
    </row>
    <row r="1250" spans="6:9">
      <c r="F1250" s="63"/>
      <c r="G1250" s="63"/>
      <c r="H1250" s="63"/>
      <c r="I1250" s="63"/>
    </row>
    <row r="1251" spans="6:9">
      <c r="F1251" s="63"/>
      <c r="G1251" s="63"/>
      <c r="H1251" s="63"/>
      <c r="I1251" s="63"/>
    </row>
    <row r="1252" spans="6:9">
      <c r="F1252" s="63"/>
      <c r="G1252" s="63"/>
      <c r="H1252" s="63"/>
      <c r="I1252" s="63"/>
    </row>
    <row r="1253" spans="6:9">
      <c r="F1253" s="63"/>
      <c r="G1253" s="63"/>
      <c r="H1253" s="63"/>
      <c r="I1253" s="63"/>
    </row>
    <row r="1254" spans="6:9">
      <c r="F1254" s="63"/>
      <c r="G1254" s="63"/>
      <c r="H1254" s="63"/>
      <c r="I1254" s="63"/>
    </row>
    <row r="1255" spans="6:9">
      <c r="F1255" s="63"/>
      <c r="G1255" s="63"/>
      <c r="H1255" s="63"/>
      <c r="I1255" s="63"/>
    </row>
    <row r="1256" spans="6:9">
      <c r="F1256" s="63"/>
      <c r="G1256" s="63"/>
      <c r="H1256" s="63"/>
      <c r="I1256" s="63"/>
    </row>
    <row r="1257" spans="6:9">
      <c r="F1257" s="63"/>
      <c r="G1257" s="63"/>
      <c r="H1257" s="63"/>
      <c r="I1257" s="63"/>
    </row>
    <row r="1258" spans="6:9">
      <c r="F1258" s="63"/>
      <c r="G1258" s="63"/>
      <c r="H1258" s="63"/>
      <c r="I1258" s="63"/>
    </row>
    <row r="1259" spans="6:9">
      <c r="F1259" s="63"/>
      <c r="G1259" s="63"/>
      <c r="H1259" s="63"/>
      <c r="I1259" s="63"/>
    </row>
    <row r="1260" spans="6:9">
      <c r="F1260" s="63"/>
      <c r="G1260" s="63"/>
      <c r="H1260" s="63"/>
      <c r="I1260" s="63"/>
    </row>
    <row r="1261" spans="6:9">
      <c r="F1261" s="63"/>
      <c r="G1261" s="63"/>
      <c r="H1261" s="63"/>
      <c r="I1261" s="63"/>
    </row>
    <row r="1262" spans="6:9">
      <c r="F1262" s="63"/>
      <c r="G1262" s="63"/>
      <c r="H1262" s="63"/>
      <c r="I1262" s="63"/>
    </row>
    <row r="1263" spans="6:9">
      <c r="F1263" s="63"/>
      <c r="G1263" s="63"/>
      <c r="H1263" s="63"/>
      <c r="I1263" s="63"/>
    </row>
    <row r="1264" spans="6:9">
      <c r="F1264" s="63"/>
      <c r="G1264" s="63"/>
      <c r="H1264" s="63"/>
      <c r="I1264" s="63"/>
    </row>
    <row r="1265" spans="6:9">
      <c r="F1265" s="63"/>
      <c r="G1265" s="63"/>
      <c r="H1265" s="63"/>
      <c r="I1265" s="63"/>
    </row>
    <row r="1266" spans="6:9">
      <c r="F1266" s="63"/>
      <c r="G1266" s="63"/>
      <c r="H1266" s="63"/>
      <c r="I1266" s="63"/>
    </row>
    <row r="1267" spans="6:9">
      <c r="F1267" s="63"/>
      <c r="G1267" s="63"/>
      <c r="H1267" s="63"/>
      <c r="I1267" s="63"/>
    </row>
    <row r="1268" spans="6:9">
      <c r="F1268" s="63"/>
      <c r="G1268" s="63"/>
      <c r="H1268" s="63"/>
      <c r="I1268" s="63"/>
    </row>
    <row r="1269" spans="6:9">
      <c r="F1269" s="63"/>
      <c r="G1269" s="63"/>
      <c r="H1269" s="63"/>
      <c r="I1269" s="63"/>
    </row>
    <row r="1270" spans="6:9">
      <c r="F1270" s="63"/>
      <c r="G1270" s="63"/>
      <c r="H1270" s="63"/>
      <c r="I1270" s="63"/>
    </row>
    <row r="1271" spans="6:9">
      <c r="F1271" s="63"/>
      <c r="G1271" s="63"/>
      <c r="H1271" s="63"/>
      <c r="I1271" s="63"/>
    </row>
    <row r="1272" spans="6:9">
      <c r="F1272" s="63"/>
      <c r="G1272" s="63"/>
      <c r="H1272" s="63"/>
      <c r="I1272" s="63"/>
    </row>
    <row r="1273" spans="6:9">
      <c r="F1273" s="63"/>
      <c r="G1273" s="63"/>
      <c r="H1273" s="63"/>
      <c r="I1273" s="63"/>
    </row>
    <row r="1274" spans="6:9">
      <c r="F1274" s="63"/>
      <c r="G1274" s="63"/>
      <c r="H1274" s="63"/>
      <c r="I1274" s="63"/>
    </row>
    <row r="1275" spans="6:9">
      <c r="F1275" s="63"/>
      <c r="G1275" s="63"/>
      <c r="H1275" s="63"/>
      <c r="I1275" s="63"/>
    </row>
    <row r="1276" spans="6:9">
      <c r="F1276" s="63"/>
      <c r="G1276" s="63"/>
      <c r="H1276" s="63"/>
      <c r="I1276" s="63"/>
    </row>
    <row r="1277" spans="6:9">
      <c r="F1277" s="63"/>
      <c r="G1277" s="63"/>
      <c r="H1277" s="63"/>
      <c r="I1277" s="63"/>
    </row>
    <row r="1278" spans="6:9">
      <c r="F1278" s="63"/>
      <c r="G1278" s="63"/>
      <c r="H1278" s="63"/>
      <c r="I1278" s="63"/>
    </row>
    <row r="1279" spans="6:9">
      <c r="F1279" s="63"/>
      <c r="G1279" s="63"/>
      <c r="H1279" s="63"/>
      <c r="I1279" s="63"/>
    </row>
    <row r="1280" spans="6:9">
      <c r="F1280" s="63"/>
      <c r="G1280" s="63"/>
      <c r="H1280" s="63"/>
      <c r="I1280" s="63"/>
    </row>
    <row r="1281" spans="6:9">
      <c r="F1281" s="63"/>
      <c r="G1281" s="63"/>
      <c r="H1281" s="63"/>
      <c r="I1281" s="63"/>
    </row>
    <row r="1282" spans="6:9">
      <c r="F1282" s="63"/>
      <c r="G1282" s="63"/>
      <c r="H1282" s="63"/>
      <c r="I1282" s="63"/>
    </row>
    <row r="1283" spans="6:9">
      <c r="F1283" s="63"/>
      <c r="G1283" s="63"/>
      <c r="H1283" s="63"/>
      <c r="I1283" s="63"/>
    </row>
    <row r="1284" spans="6:9">
      <c r="F1284" s="63"/>
      <c r="G1284" s="63"/>
      <c r="H1284" s="63"/>
      <c r="I1284" s="63"/>
    </row>
    <row r="1285" spans="6:9">
      <c r="F1285" s="63"/>
      <c r="G1285" s="63"/>
      <c r="H1285" s="63"/>
      <c r="I1285" s="63"/>
    </row>
    <row r="1286" spans="6:9">
      <c r="F1286" s="63"/>
      <c r="G1286" s="63"/>
      <c r="H1286" s="63"/>
      <c r="I1286" s="63"/>
    </row>
    <row r="1287" spans="6:9">
      <c r="F1287" s="63"/>
      <c r="G1287" s="63"/>
      <c r="H1287" s="63"/>
      <c r="I1287" s="63"/>
    </row>
    <row r="1288" spans="6:9">
      <c r="F1288" s="63"/>
      <c r="G1288" s="63"/>
      <c r="H1288" s="63"/>
      <c r="I1288" s="63"/>
    </row>
    <row r="1289" spans="6:9">
      <c r="F1289" s="63"/>
      <c r="G1289" s="63"/>
      <c r="H1289" s="63"/>
      <c r="I1289" s="63"/>
    </row>
    <row r="1290" spans="6:9">
      <c r="F1290" s="63"/>
      <c r="G1290" s="63"/>
      <c r="H1290" s="63"/>
      <c r="I1290" s="63"/>
    </row>
    <row r="1291" spans="6:9">
      <c r="F1291" s="63"/>
      <c r="G1291" s="63"/>
      <c r="H1291" s="63"/>
      <c r="I1291" s="63"/>
    </row>
    <row r="1292" spans="6:9">
      <c r="F1292" s="63"/>
      <c r="G1292" s="63"/>
      <c r="H1292" s="63"/>
      <c r="I1292" s="63"/>
    </row>
    <row r="1293" spans="6:9">
      <c r="F1293" s="63"/>
      <c r="G1293" s="63"/>
      <c r="H1293" s="63"/>
      <c r="I1293" s="63"/>
    </row>
    <row r="1294" spans="6:9">
      <c r="F1294" s="63"/>
      <c r="G1294" s="63"/>
      <c r="H1294" s="63"/>
      <c r="I1294" s="63"/>
    </row>
    <row r="1295" spans="6:9">
      <c r="F1295" s="63"/>
      <c r="G1295" s="63"/>
      <c r="H1295" s="63"/>
      <c r="I1295" s="63"/>
    </row>
    <row r="1296" spans="6:9">
      <c r="F1296" s="63"/>
      <c r="G1296" s="63"/>
      <c r="H1296" s="63"/>
      <c r="I1296" s="63"/>
    </row>
    <row r="1297" spans="6:9">
      <c r="F1297" s="63"/>
      <c r="G1297" s="63"/>
      <c r="H1297" s="63"/>
      <c r="I1297" s="63"/>
    </row>
    <row r="1298" spans="6:9">
      <c r="F1298" s="63"/>
      <c r="G1298" s="63"/>
      <c r="H1298" s="63"/>
      <c r="I1298" s="63"/>
    </row>
    <row r="1299" spans="6:9">
      <c r="F1299" s="63"/>
      <c r="G1299" s="63"/>
      <c r="H1299" s="63"/>
      <c r="I1299" s="63"/>
    </row>
    <row r="1300" spans="6:9">
      <c r="F1300" s="63"/>
      <c r="G1300" s="63"/>
      <c r="H1300" s="63"/>
      <c r="I1300" s="63"/>
    </row>
    <row r="1301" spans="6:9">
      <c r="F1301" s="63"/>
      <c r="G1301" s="63"/>
      <c r="H1301" s="63"/>
      <c r="I1301" s="63"/>
    </row>
    <row r="1302" spans="6:9">
      <c r="F1302" s="63"/>
      <c r="G1302" s="63"/>
      <c r="H1302" s="63"/>
      <c r="I1302" s="63"/>
    </row>
    <row r="1303" spans="6:9">
      <c r="F1303" s="63"/>
      <c r="G1303" s="63"/>
      <c r="H1303" s="63"/>
      <c r="I1303" s="63"/>
    </row>
    <row r="1304" spans="6:9">
      <c r="F1304" s="63"/>
      <c r="G1304" s="63"/>
      <c r="H1304" s="63"/>
      <c r="I1304" s="63"/>
    </row>
    <row r="1305" spans="6:9">
      <c r="F1305" s="63"/>
      <c r="G1305" s="63"/>
      <c r="H1305" s="63"/>
      <c r="I1305" s="63"/>
    </row>
    <row r="1306" spans="6:9">
      <c r="F1306" s="63"/>
      <c r="G1306" s="63"/>
      <c r="H1306" s="63"/>
      <c r="I1306" s="63"/>
    </row>
  </sheetData>
  <sheetProtection algorithmName="SHA-512" hashValue="J7D5Mc+p4b5GdsP3c9hXQGz2lllveeXIFYaipizOYaKVfK/H86pKlWBqLoG252/KnlMU4b7+ZzstVuDSawIAFg==" saltValue="KeOWIZIIPosmlNWVhY8jPQ==" spinCount="100000" sheet="1" objects="1" scenarios="1"/>
  <protectedRanges>
    <protectedRange sqref="G6:I19" name="Range1"/>
    <protectedRange sqref="G22:I43 G59" name="Range2"/>
    <protectedRange sqref="G48:I51" name="Range3"/>
    <protectedRange sqref="G54:I57" name="Range4"/>
    <protectedRange sqref="G54:I57" name="Range5"/>
    <protectedRange sqref="G60:I66 G70:I76 H59:I59" name="Range6"/>
    <protectedRange sqref="G84:I87" name="Range8"/>
    <protectedRange sqref="G89:I91" name="Range9"/>
    <protectedRange sqref="G93:I93" name="Range10"/>
    <protectedRange sqref="G95:I97" name="Range11"/>
  </protectedRanges>
  <mergeCells count="3">
    <mergeCell ref="B1:D1"/>
    <mergeCell ref="C70:C76"/>
    <mergeCell ref="C78:C82"/>
  </mergeCells>
  <conditionalFormatting sqref="B70:B77">
    <cfRule type="expression" dxfId="22" priority="22">
      <formula>C$19="Gruppentreffen"</formula>
    </cfRule>
  </conditionalFormatting>
  <conditionalFormatting sqref="B93:C93 E93 B95:C97 E95:E97">
    <cfRule type="expression" dxfId="21" priority="16">
      <formula>B$19="Tour/Kurs"</formula>
    </cfRule>
    <cfRule type="expression" dxfId="20" priority="17">
      <formula>B$19="Gruppenausfahrt"</formula>
    </cfRule>
    <cfRule type="expression" dxfId="19" priority="18">
      <formula>B$19="Gruppentreffen"</formula>
    </cfRule>
  </conditionalFormatting>
  <conditionalFormatting sqref="C94:E94">
    <cfRule type="expression" dxfId="18" priority="15">
      <formula>C$19="Gruppentreffen"</formula>
    </cfRule>
  </conditionalFormatting>
  <conditionalFormatting sqref="F95:F96">
    <cfRule type="expression" dxfId="17" priority="10">
      <formula>F$19="Tour/Kurs"</formula>
    </cfRule>
    <cfRule type="expression" dxfId="16" priority="11">
      <formula>F$19="Gruppenausfahrt"</formula>
    </cfRule>
    <cfRule type="expression" dxfId="15" priority="12">
      <formula>F$19="Gruppentreffen"</formula>
    </cfRule>
  </conditionalFormatting>
  <conditionalFormatting sqref="G59">
    <cfRule type="expression" dxfId="14" priority="1">
      <formula>COUNTA(G$33:G$43)&gt;0</formula>
    </cfRule>
  </conditionalFormatting>
  <conditionalFormatting sqref="G22:I31">
    <cfRule type="expression" dxfId="13" priority="9">
      <formula>COUNTA(G$33:G$43)&gt;0</formula>
    </cfRule>
  </conditionalFormatting>
  <conditionalFormatting sqref="G33:I43">
    <cfRule type="expression" dxfId="12" priority="8">
      <formula>COUNTA(G$22:G$31)&gt;0</formula>
    </cfRule>
  </conditionalFormatting>
  <conditionalFormatting sqref="G48:I50">
    <cfRule type="expression" dxfId="11" priority="7">
      <formula>COUNTA(G$51)=1</formula>
    </cfRule>
  </conditionalFormatting>
  <conditionalFormatting sqref="G51:I51">
    <cfRule type="expression" dxfId="10" priority="6">
      <formula>COUNTA(G$48:G$50)&gt;0</formula>
    </cfRule>
  </conditionalFormatting>
  <conditionalFormatting sqref="G54:I56">
    <cfRule type="expression" dxfId="9" priority="5">
      <formula>COUNTA(G$57)=1</formula>
    </cfRule>
  </conditionalFormatting>
  <conditionalFormatting sqref="G57:I57">
    <cfRule type="expression" dxfId="8" priority="4">
      <formula>COUNTA(G$54:G$56)&gt;0</formula>
    </cfRule>
  </conditionalFormatting>
  <conditionalFormatting sqref="G91:I91">
    <cfRule type="expression" dxfId="7" priority="13">
      <formula>G90&lt;&gt;"Andere (z.B. Tagungsraum)"</formula>
    </cfRule>
    <cfRule type="expression" priority="14">
      <formula>G90="Andere (z.B. Tagungsraum)"</formula>
    </cfRule>
  </conditionalFormatting>
  <conditionalFormatting sqref="G93:I93 G95:I97 G48:I51 G54:I57 H59:I59 G60:I66 G70:I76 G84:I87 G89:I91">
    <cfRule type="expression" dxfId="6" priority="3">
      <formula>G$19="Gruppentreffen"</formula>
    </cfRule>
  </conditionalFormatting>
  <conditionalFormatting sqref="G93:I93 G95:I97">
    <cfRule type="expression" dxfId="5" priority="2">
      <formula>OR(G$19="Tour/Kurs",G$19="Gruppenausfahrt")</formula>
    </cfRule>
  </conditionalFormatting>
  <conditionalFormatting sqref="G95:I95">
    <cfRule type="expression" dxfId="4" priority="21">
      <formula>G97&gt;0</formula>
    </cfRule>
  </conditionalFormatting>
  <conditionalFormatting sqref="G96:I96">
    <cfRule type="expression" dxfId="3" priority="19">
      <formula>G97&gt;0</formula>
    </cfRule>
    <cfRule type="expression" dxfId="2" priority="20">
      <formula>G97&lt;0.000001</formula>
    </cfRule>
  </conditionalFormatting>
  <conditionalFormatting sqref="G97:I97">
    <cfRule type="expression" dxfId="1" priority="23">
      <formula>G$96&lt;0.0001</formula>
    </cfRule>
    <cfRule type="expression" dxfId="0" priority="24">
      <formula>COUNTA(G$95:G$96)&gt;0</formula>
    </cfRule>
  </conditionalFormatting>
  <dataValidations count="10">
    <dataValidation operator="greaterThanOrEqual" showDropDown="1" showErrorMessage="1" sqref="G16:I16" xr:uid="{174DE039-58F1-4B67-9768-6BA39B63DFCF}"/>
    <dataValidation type="custom" allowBlank="1" showDropDown="1" sqref="G13:I13" xr:uid="{E0B82ADB-7F62-4BE6-9848-EEE2AAF6709A}">
      <formula1>OR(NOT(ISERROR(DATEVALUE(G13))), AND(ISNUMBER(G13), LEFT(CELL("format", G13))="D"))</formula1>
    </dataValidation>
    <dataValidation type="decimal" operator="greaterThanOrEqual" allowBlank="1" showErrorMessage="1" sqref="G10:I10 G33:I44" xr:uid="{AFE4C070-20FE-4E33-A765-8291B9FAFEB1}">
      <formula1>0</formula1>
    </dataValidation>
    <dataValidation type="decimal" operator="greaterThanOrEqual" allowBlank="1" showDropDown="1" showErrorMessage="1" sqref="D14:D15 D91 D95:D97 D70:D82 G14:I15 G82:I82 G54:I54 G95:I95 G80:I80 G48:I48 G78:I78 G97:I97 G91:I91 G85:I87" xr:uid="{6771CA35-24E6-4D12-B546-1B2EF24DC192}">
      <formula1>0</formula1>
    </dataValidation>
    <dataValidation allowBlank="1" showInputMessage="1" showErrorMessage="1" sqref="G81:I81 G79:I79" xr:uid="{3F5F0EC8-0C8D-4637-B010-76F56FAF0102}"/>
    <dataValidation type="decimal" operator="greaterThanOrEqual" allowBlank="1" showDropDown="1" sqref="D47:D48 D53:D54 D59:D67 D84:D87 D10 D13 D21:D44 D57 D51 G67:I67 G22:I32 G59" xr:uid="{1A44B12C-1843-4B7E-8784-3E3E7DF644B3}">
      <formula1>0</formula1>
    </dataValidation>
    <dataValidation type="list" allowBlank="1" showErrorMessage="1" sqref="D19 G19:I19" xr:uid="{1798A35A-0C73-4A9A-81DF-0C54FEDE385F}">
      <formula1>"Veranstaltung,Gremiensitzung,Tour/Kurs,Gruppenausfahrt,Gruppentreffen"</formula1>
    </dataValidation>
    <dataValidation type="custom" allowBlank="1" showDropDown="1" sqref="F20:I20 G52:I52 G45:I46 H8:I8" xr:uid="{FB009AAD-6B37-4EC7-9BB9-2BC06EE64DEA}">
      <formula1>NOT(ISERROR(SEARCH(("Frei"),(F8))))</formula1>
    </dataValidation>
    <dataValidation type="list" allowBlank="1" sqref="D89 G89:I89" xr:uid="{B7113137-4861-4CB3-9237-282CB78D7BDC}">
      <formula1>"Ja,Nein"</formula1>
    </dataValidation>
    <dataValidation type="list" allowBlank="1" sqref="E19" xr:uid="{86E5BEA5-BBE8-467E-8EFE-BC460C6F3C79}">
      <formula1>"Veranstaltung,Gremiensitzung,Tour/Kurs,Gruppenausfahrt,Gruppentreffen"</formula1>
    </dataValidation>
  </dataValidations>
  <pageMargins left="0.7" right="0.7" top="0.78740157499999996" bottom="0.78740157499999996" header="0.3" footer="0.3"/>
  <pageSetup paperSize="9" scale="53" orientation="portrait" r:id="rId1"/>
  <rowBreaks count="1" manualBreakCount="1">
    <brk id="6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1A88E64B9F164FB6A49BCDB8B9397C" ma:contentTypeVersion="7" ma:contentTypeDescription="Ein neues Dokument erstellen." ma:contentTypeScope="" ma:versionID="e17e5e381d8fefd6b0ed1a0244d2614d">
  <xsd:schema xmlns:xsd="http://www.w3.org/2001/XMLSchema" xmlns:xs="http://www.w3.org/2001/XMLSchema" xmlns:p="http://schemas.microsoft.com/office/2006/metadata/properties" xmlns:ns2="0ecbce00-79a8-4120-9caa-6c7973abd6fb" targetNamespace="http://schemas.microsoft.com/office/2006/metadata/properties" ma:root="true" ma:fieldsID="7aaef7d9e72215b3aa5ffce1fe5880de" ns2:_="">
    <xsd:import namespace="0ecbce00-79a8-4120-9caa-6c7973abd6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bce00-79a8-4120-9caa-6c7973abd6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D1DA8A-46DD-47BB-B4AD-CD825DBF4F67}"/>
</file>

<file path=customXml/itemProps2.xml><?xml version="1.0" encoding="utf-8"?>
<ds:datastoreItem xmlns:ds="http://schemas.openxmlformats.org/officeDocument/2006/customXml" ds:itemID="{BDE64E1A-28EB-42B9-BEF0-BDCEAA1818BF}"/>
</file>

<file path=customXml/itemProps3.xml><?xml version="1.0" encoding="utf-8"?>
<ds:datastoreItem xmlns:ds="http://schemas.openxmlformats.org/officeDocument/2006/customXml" ds:itemID="{62094B0C-5BE7-41A6-A47A-41BC5620E5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Elfriede Müller (DAV Altdorf)</cp:lastModifiedBy>
  <cp:revision/>
  <dcterms:created xsi:type="dcterms:W3CDTF">2021-11-17T20:31:51Z</dcterms:created>
  <dcterms:modified xsi:type="dcterms:W3CDTF">2025-09-30T08:07:18Z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0x0101004A1A88E64B9F164FB6A49BCDB8B9397C</vt:lpwstr>
  </property>
  <property fmtid="{D5CDD505-2E9C-101B-9397-08002B2CF9AE}" pid="3" name="Order">
    <vt:r8>565000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